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Start here" state="visible" r:id="rId4"/>
    <sheet sheetId="2" name="Year" state="visible" r:id="rId5"/>
    <sheet sheetId="3" name="Jan" state="visible" r:id="rId6"/>
    <sheet sheetId="4" name="Feb" state="visible" r:id="rId7"/>
    <sheet sheetId="5" name="Mar" state="visible" r:id="rId8"/>
    <sheet sheetId="6" name="Apr" state="visible" r:id="rId9"/>
    <sheet sheetId="7" name="May" state="visible" r:id="rId10"/>
    <sheet sheetId="8" name="Jun" state="visible" r:id="rId11"/>
    <sheet sheetId="9" name="Jul" state="visible" r:id="rId12"/>
    <sheet sheetId="10" name="Aug" state="visible" r:id="rId13"/>
    <sheet sheetId="11" name="Sep" state="visible" r:id="rId14"/>
    <sheet sheetId="12" name="Oct" state="visible" r:id="rId15"/>
    <sheet sheetId="13" name="Nov" state="visible" r:id="rId16"/>
    <sheet sheetId="14" name="Dec" state="visible" r:id="rId17"/>
    <sheet sheetId="15" name="Weekly" state="visible" r:id="rId18"/>
    <sheet sheetId="16" name="Holidays" state="visible" r:id="rId19"/>
    <sheet sheetId="17" name="Lists" state="hidden" r:id="rId20"/>
  </sheets>
  <definedNames>
    <definedName name="DayShort">Lists!$A$2:$A$8</definedName>
    <definedName name="DayLong">Lists!$B$2:$B$8</definedName>
    <definedName name="MonthNames">Lists!$C$2:$C$13</definedName>
    <definedName name="DayInitial">Lists!$D$2:$D$8</definedName>
    <definedName name="CountryCodes">Lists!$F$2:$F$20</definedName>
    <definedName name="CountryNames">Lists!$G$2:$G$20</definedName>
    <definedName name="WeekType">Lists!$I$2</definedName>
    <definedName name="CountryCode">Lists!$J$2</definedName>
    <definedName name="FirstWeekStart">Lists!$K$2</definedName>
    <definedName name="CalYear">'Start here'!$C$7</definedName>
    <definedName name="WeekStart">'Start here'!$C$8</definedName>
    <definedName name="Country">'Start here'!$C$9</definedName>
    <definedName name="WeekNum">Weekly!$D$4</definedName>
    <definedName name="HolCode">Holidays!$B$5:$B$604</definedName>
    <definedName name="HolDate">Holidays!$C$5:$C$604</definedName>
    <definedName name="HolName">Holidays!$D$5:$D$604</definedName>
    <definedName name="HolShow">Holidays!$F$5:$F$604</definedName>
    <definedName name="HolKey">Holidays!$G$5:$G$604</definedName>
    <definedName name="HolShownDate">Holidays!$H$5:$H$604</definedName>
    <definedName name="_xlnm.Print_Area" localSheetId="1">'Year'!$A1:$AG35</definedName>
    <definedName name="_xlnm.Print_Area" localSheetId="2">'Jan'!$A1:$K16</definedName>
    <definedName name="_xlnm.Print_Area" localSheetId="3">'Feb'!$A1:$K16</definedName>
    <definedName name="_xlnm.Print_Area" localSheetId="4">'Mar'!$A1:$K16</definedName>
    <definedName name="_xlnm.Print_Area" localSheetId="5">'Apr'!$A1:$K16</definedName>
    <definedName name="_xlnm.Print_Area" localSheetId="6">'May'!$A1:$K16</definedName>
    <definedName name="_xlnm.Print_Area" localSheetId="7">'Jun'!$A1:$K16</definedName>
    <definedName name="_xlnm.Print_Area" localSheetId="8">'Jul'!$A1:$K16</definedName>
    <definedName name="_xlnm.Print_Area" localSheetId="9">'Aug'!$A1:$K16</definedName>
    <definedName name="_xlnm.Print_Area" localSheetId="10">'Sep'!$A1:$K16</definedName>
    <definedName name="_xlnm.Print_Area" localSheetId="11">'Oct'!$A1:$K16</definedName>
    <definedName name="_xlnm.Print_Area" localSheetId="12">'Nov'!$A1:$K16</definedName>
    <definedName name="_xlnm.Print_Area" localSheetId="13">'Dec'!$A1:$K16</definedName>
  </definedNames>
  <calcPr calcId="171027" fullCalcOnLoad="1"/>
</workbook>
</file>

<file path=xl/sharedStrings.xml><?xml version="1.0" encoding="utf-8"?>
<sst xmlns="http://schemas.openxmlformats.org/spreadsheetml/2006/main" count="605" uniqueCount="208">
  <si>
    <t>2027 Calendar &amp; Planner</t>
  </si>
  <si>
    <t>sheets365.com</t>
  </si>
  <si>
    <t>Settings</t>
  </si>
  <si>
    <t>Yellow cells are the ones you can change.</t>
  </si>
  <si>
    <t>Year</t>
  </si>
  <si>
    <t>Week starts on</t>
  </si>
  <si>
    <t>Monday</t>
  </si>
  <si>
    <t>Holidays for</t>
  </si>
  <si>
    <t>United States</t>
  </si>
  <si>
    <t>How to use</t>
  </si>
  <si>
    <t>1.</t>
  </si>
  <si>
    <t>Pick your country and the first day of the week above. Every tab updates automatically.</t>
  </si>
  <si>
    <t>2.</t>
  </si>
  <si>
    <t>Each month has its own tab with space to write under every day.</t>
  </si>
  <si>
    <t>3.</t>
  </si>
  <si>
    <t>The Weekly tab is a planner for any week: choose the week number at the top.</t>
  </si>
  <si>
    <t>4.</t>
  </si>
  <si>
    <t>Add your own dates (birthdays, deadlines) at the bottom of the Holidays tab with the code MY.</t>
  </si>
  <si>
    <t>5.</t>
  </si>
  <si>
    <t>Printing: every tab is set to fit on one page.</t>
  </si>
  <si>
    <t>Public holidays for 2027 from the open date-holidays dataset. Double-check local and regional days off.</t>
  </si>
  <si>
    <t>Holiday</t>
  </si>
  <si>
    <t>Today</t>
  </si>
  <si>
    <t>Holidays</t>
  </si>
  <si>
    <t>Notes</t>
  </si>
  <si>
    <t>Week</t>
  </si>
  <si>
    <t>Week of</t>
  </si>
  <si>
    <t>Public holidays for 2027. Add your own dates at the bottom using the code MY — they show up in every country.</t>
  </si>
  <si>
    <t>Code</t>
  </si>
  <si>
    <t>Date</t>
  </si>
  <si>
    <t>AR</t>
  </si>
  <si>
    <t>New Year's Day</t>
  </si>
  <si>
    <t>Shrove Monday</t>
  </si>
  <si>
    <t>Shrove Tuesday</t>
  </si>
  <si>
    <t>Day of Remembrance for Truth and Justice</t>
  </si>
  <si>
    <t>Good Friday</t>
  </si>
  <si>
    <t>Day of the Veterans and the Fallen in the Malvinas War</t>
  </si>
  <si>
    <t>Labour Day</t>
  </si>
  <si>
    <t>Day of the May Revolution</t>
  </si>
  <si>
    <t>Anniversary of the Passing to Immortality of General Manuel Belgrano</t>
  </si>
  <si>
    <t>Anniversary of the Passing to Immortality of General Martín Miguel de Güemes</t>
  </si>
  <si>
    <t>Independence Day</t>
  </si>
  <si>
    <t>Anniversary of the Passing to Immortality of General José de San Martín</t>
  </si>
  <si>
    <t>Day of Respect for Cultural Diversity</t>
  </si>
  <si>
    <t>Day of National Sovereignty</t>
  </si>
  <si>
    <t>Immaculate Conception of Mary</t>
  </si>
  <si>
    <t>Christmas Day</t>
  </si>
  <si>
    <t>AU</t>
  </si>
  <si>
    <t>Australia Day</t>
  </si>
  <si>
    <t>Easter Saturday</t>
  </si>
  <si>
    <t>Easter Sunday</t>
  </si>
  <si>
    <t>Easter Monday</t>
  </si>
  <si>
    <t>Anzac Day</t>
  </si>
  <si>
    <t>Boxing Day</t>
  </si>
  <si>
    <t>Christmas Day (substitute day)</t>
  </si>
  <si>
    <t>Boxing Day (substitute day)</t>
  </si>
  <si>
    <t>BR</t>
  </si>
  <si>
    <t>Tiradentes' Day</t>
  </si>
  <si>
    <t>Our Lady of Aparecida</t>
  </si>
  <si>
    <t>All Souls' Day</t>
  </si>
  <si>
    <t>Republic Day</t>
  </si>
  <si>
    <t>Black Awareness Day</t>
  </si>
  <si>
    <t>CA</t>
  </si>
  <si>
    <t>Canada Day</t>
  </si>
  <si>
    <t>CL</t>
  </si>
  <si>
    <t>Navy Day</t>
  </si>
  <si>
    <t>Indigenous People's Day</t>
  </si>
  <si>
    <t>Saints Peter and Paul</t>
  </si>
  <si>
    <t>Our Lady of Mount Carmel</t>
  </si>
  <si>
    <t>Assumption</t>
  </si>
  <si>
    <t>National holiday</t>
  </si>
  <si>
    <t>Army Day</t>
  </si>
  <si>
    <t>Columbus Day</t>
  </si>
  <si>
    <t>Reformation Day</t>
  </si>
  <si>
    <t>All Saints' Day</t>
  </si>
  <si>
    <t>Immaculate Conception</t>
  </si>
  <si>
    <t>CO</t>
  </si>
  <si>
    <t>Epiphany</t>
  </si>
  <si>
    <t>Saint Joseph</t>
  </si>
  <si>
    <t>Maundy Thursday</t>
  </si>
  <si>
    <t>Ascension Day</t>
  </si>
  <si>
    <t>Corpus Christi</t>
  </si>
  <si>
    <t>Sacred Heart</t>
  </si>
  <si>
    <t>Virgin of Chiquinquirá</t>
  </si>
  <si>
    <t>Battle of Boyacá</t>
  </si>
  <si>
    <t>Independence of Cartagena</t>
  </si>
  <si>
    <t>DE</t>
  </si>
  <si>
    <t>Whit Monday</t>
  </si>
  <si>
    <t>National Holiday</t>
  </si>
  <si>
    <t>EC</t>
  </si>
  <si>
    <t>Carnival</t>
  </si>
  <si>
    <t>The Battle of Pichincha</t>
  </si>
  <si>
    <t>Declaration of Independence of Quito</t>
  </si>
  <si>
    <t>Independence of Guayaquil</t>
  </si>
  <si>
    <t>Independence of Cuenca</t>
  </si>
  <si>
    <t>ES</t>
  </si>
  <si>
    <t>Fiesta Nacional de España</t>
  </si>
  <si>
    <t>Día de la Constitución Española</t>
  </si>
  <si>
    <t>FR</t>
  </si>
  <si>
    <t>Victory Day</t>
  </si>
  <si>
    <t>Bastille Day</t>
  </si>
  <si>
    <t>Armistice Day</t>
  </si>
  <si>
    <t>GB</t>
  </si>
  <si>
    <t>Early May bank holiday</t>
  </si>
  <si>
    <t>Spring bank holiday</t>
  </si>
  <si>
    <t>IE</t>
  </si>
  <si>
    <t>St. Brigid’s Day</t>
  </si>
  <si>
    <t>St. Patrick’s Day</t>
  </si>
  <si>
    <t>First Monday in May</t>
  </si>
  <si>
    <t>First Monday in June</t>
  </si>
  <si>
    <t>First Monday in August</t>
  </si>
  <si>
    <t>Last Monday in October</t>
  </si>
  <si>
    <t>St. Stephen’s Day</t>
  </si>
  <si>
    <t>IT</t>
  </si>
  <si>
    <t>Liberation from Nazi-Fascism (1945)</t>
  </si>
  <si>
    <t>National Day of Saint Francis of Assisi</t>
  </si>
  <si>
    <t>MX</t>
  </si>
  <si>
    <t>Constitution Day</t>
  </si>
  <si>
    <t>Benito Juárez's birthday</t>
  </si>
  <si>
    <t>Revolution Day</t>
  </si>
  <si>
    <t>NZ</t>
  </si>
  <si>
    <t>Day after New Year's Day</t>
  </si>
  <si>
    <t>Day after New Year's Day (substitute day)</t>
  </si>
  <si>
    <t>Waitangi Day</t>
  </si>
  <si>
    <t>Waitangi Day (substitute day)</t>
  </si>
  <si>
    <t>ANZAC Day</t>
  </si>
  <si>
    <t>ANZAC Day (substitute day)</t>
  </si>
  <si>
    <t>King's Birthday</t>
  </si>
  <si>
    <t>Matariki</t>
  </si>
  <si>
    <t>PE</t>
  </si>
  <si>
    <t>Battle of Arica and Flag Day</t>
  </si>
  <si>
    <t>Peruvian Air Force Day</t>
  </si>
  <si>
    <t>Battle of Junín</t>
  </si>
  <si>
    <t>Santa Rosa de Lima</t>
  </si>
  <si>
    <t>Battle of Angamos</t>
  </si>
  <si>
    <t>Battle of Ayacucho</t>
  </si>
  <si>
    <t>PT</t>
  </si>
  <si>
    <t>Liberty Day</t>
  </si>
  <si>
    <t>Portugal Day</t>
  </si>
  <si>
    <t>Implantação da República</t>
  </si>
  <si>
    <t>Restauração da Independência</t>
  </si>
  <si>
    <t>US</t>
  </si>
  <si>
    <t>Martin Luther King Jr. Day</t>
  </si>
  <si>
    <t>Washington's Birthday</t>
  </si>
  <si>
    <t>Memorial Day</t>
  </si>
  <si>
    <t>Juneteenth (substitute day)</t>
  </si>
  <si>
    <t>Juneteenth</t>
  </si>
  <si>
    <t>Independence Day (substitute day)</t>
  </si>
  <si>
    <t>Veterans Day</t>
  </si>
  <si>
    <t>Thanksgiving Day</t>
  </si>
  <si>
    <t>New Year's Day (substitute day)</t>
  </si>
  <si>
    <t>UY</t>
  </si>
  <si>
    <t>DayShort</t>
  </si>
  <si>
    <t>DayLong</t>
  </si>
  <si>
    <t>Month</t>
  </si>
  <si>
    <t>DayInitial</t>
  </si>
  <si>
    <t>Country</t>
  </si>
  <si>
    <t>WeekType</t>
  </si>
  <si>
    <t>CountryCode</t>
  </si>
  <si>
    <t>Jan1</t>
  </si>
  <si>
    <t>Mon</t>
  </si>
  <si>
    <t>January</t>
  </si>
  <si>
    <t>M</t>
  </si>
  <si>
    <t>Argentina</t>
  </si>
  <si>
    <t>Tue</t>
  </si>
  <si>
    <t>Tuesday</t>
  </si>
  <si>
    <t>February</t>
  </si>
  <si>
    <t>T</t>
  </si>
  <si>
    <t>Australia</t>
  </si>
  <si>
    <t>Wed</t>
  </si>
  <si>
    <t>Wednesday</t>
  </si>
  <si>
    <t>March</t>
  </si>
  <si>
    <t>W</t>
  </si>
  <si>
    <t>Brazil</t>
  </si>
  <si>
    <t>Thu</t>
  </si>
  <si>
    <t>Thursday</t>
  </si>
  <si>
    <t>April</t>
  </si>
  <si>
    <t>Canada</t>
  </si>
  <si>
    <t>Fri</t>
  </si>
  <si>
    <t>Friday</t>
  </si>
  <si>
    <t>May</t>
  </si>
  <si>
    <t>F</t>
  </si>
  <si>
    <t>Chile</t>
  </si>
  <si>
    <t>Sat</t>
  </si>
  <si>
    <t>Saturday</t>
  </si>
  <si>
    <t>June</t>
  </si>
  <si>
    <t>S</t>
  </si>
  <si>
    <t>Colombia</t>
  </si>
  <si>
    <t>Sun</t>
  </si>
  <si>
    <t>Sunday</t>
  </si>
  <si>
    <t>July</t>
  </si>
  <si>
    <t>Ecuador</t>
  </si>
  <si>
    <t>August</t>
  </si>
  <si>
    <t>France</t>
  </si>
  <si>
    <t>September</t>
  </si>
  <si>
    <t>Germany</t>
  </si>
  <si>
    <t>October</t>
  </si>
  <si>
    <t>Ireland</t>
  </si>
  <si>
    <t>November</t>
  </si>
  <si>
    <t>Italy</t>
  </si>
  <si>
    <t>December</t>
  </si>
  <si>
    <t>Mexico</t>
  </si>
  <si>
    <t>New Zealand</t>
  </si>
  <si>
    <t>Peru</t>
  </si>
  <si>
    <t>Portugal</t>
  </si>
  <si>
    <t>Spain</t>
  </si>
  <si>
    <t>United Kingdom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</si>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</sst>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"/>
    <numFmt numFmtId="165" formatCode="d mmm"/>
    <numFmt numFmtId="166" formatCode="d mmmm yyyy"/>
  </numFmts>
  <fonts count="20" x14ac:knownFonts="1">
    <font>
      <color theme="1"/>
      <family val="2"/>
      <scheme val="minor"/>
      <sz val="11"/>
      <name val="Calibri"/>
    </font>
    <font>
      <b/>
      <color rgb="FF0E1511"/>
      <sz val="24"/>
      <name val="Arial"/>
    </font>
    <font>
      <color rgb="FF0E7A4F"/>
      <sz val="9"/>
      <name val="Arial"/>
    </font>
    <font>
      <b/>
      <color rgb="FF0E7A4F"/>
      <sz val="12"/>
      <name val="Arial"/>
    </font>
    <font>
      <i/>
      <color rgb="FF5B6760"/>
      <sz val="9"/>
      <name val="Arial"/>
    </font>
    <font>
      <color rgb="FF5B6760"/>
      <sz val="11"/>
      <name val="Arial"/>
    </font>
    <font>
      <b/>
      <color rgb="FF0E1511"/>
      <sz val="11"/>
      <name val="Arial"/>
    </font>
    <font>
      <b/>
      <color rgb="FF0E7A4F"/>
      <sz val="10"/>
      <name val="Arial"/>
    </font>
    <font>
      <color rgb="FF0E1511"/>
      <sz val="10"/>
      <name val="Arial"/>
    </font>
    <font>
      <b/>
      <color rgb="FF0E1511"/>
      <sz val="28"/>
      <name val="Arial"/>
    </font>
    <font>
      <b/>
      <color rgb="FF0E7A4F"/>
      <sz val="11"/>
      <name val="Arial"/>
    </font>
    <font>
      <b/>
      <color rgb="FF5B6760"/>
      <sz val="8"/>
      <name val="Arial"/>
    </font>
    <font>
      <color rgb="FF0E1511"/>
      <sz val="9"/>
      <name val="Arial"/>
    </font>
    <font>
      <color rgb="FF5B6760"/>
      <sz val="9"/>
      <name val="Arial"/>
    </font>
    <font>
      <b/>
      <color rgb="FF0E1511"/>
      <sz val="26"/>
      <name val="Arial"/>
    </font>
    <font>
      <b/>
      <color rgb="FFFFFFFF"/>
      <sz val="10"/>
      <name val="Arial"/>
    </font>
    <font>
      <b/>
      <color rgb="FF0E1511"/>
      <sz val="10"/>
      <name val="Arial"/>
    </font>
    <font>
      <b/>
      <color rgb="FF0E1511"/>
      <sz val="22"/>
      <name val="Arial"/>
    </font>
    <font>
      <b/>
      <color rgb="FF0A5C3B"/>
      <sz val="9"/>
      <name val="Arial"/>
    </font>
    <font>
      <b/>
      <color rgb="FF0E1511"/>
      <sz val="1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27A"/>
      </patternFill>
    </fill>
    <fill>
      <patternFill patternType="solid">
        <fgColor rgb="FF0E7A4F"/>
      </patternFill>
    </fill>
    <fill>
      <patternFill patternType="solid">
        <fgColor rgb="FFF3F2EC"/>
      </patternFill>
    </fill>
  </fills>
  <borders count="7">
    <border>
      <left/>
      <right/>
      <top/>
      <bottom/>
      <diagonal/>
    </border>
    <border>
      <left style="thin">
        <color rgb="FFCFCEC3"/>
      </left>
      <right style="thin">
        <color rgb="FFCFCEC3"/>
      </right>
      <top style="thin">
        <color rgb="FFCFCEC3"/>
      </top>
      <bottom style="thin">
        <color rgb="FFCFCEC3"/>
      </bottom>
      <diagonal/>
    </border>
    <border>
      <left/>
      <right/>
      <top/>
      <bottom style="thin">
        <color rgb="FFCFCEC3"/>
      </bottom>
      <diagonal/>
    </border>
    <border>
      <left style="thin">
        <color rgb="FFE8E7DF"/>
      </left>
      <right style="thin">
        <color rgb="FFE8E7DF"/>
      </right>
      <top style="thin">
        <color rgb="FFCFCEC3"/>
      </top>
      <bottom/>
      <diagonal/>
    </border>
    <border>
      <left style="thin">
        <color rgb="FFE8E7DF"/>
      </left>
      <right style="thin">
        <color rgb="FFE8E7DF"/>
      </right>
      <top/>
      <bottom style="thin">
        <color rgb="FFE8E7DF"/>
      </bottom>
      <diagonal/>
    </border>
    <border>
      <left/>
      <right/>
      <top/>
      <bottom style="thin">
        <color rgb="FFE8E7DF"/>
      </bottom>
      <diagonal/>
    </border>
    <border>
      <left/>
      <right/>
      <top style="thin">
        <color rgb="FFCFCEC3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1" fontId="9" fillId="0" borderId="0" xfId="0" applyNumberFormat="1" applyFont="1" applyAlignment="1">
      <alignment horizontal="left"/>
    </xf>
    <xf numFmtId="0" fontId="2" fillId="0" borderId="0" xfId="0" applyFont="1" applyAlignment="1">
      <alignment horizontal="right" vertical="bottom"/>
    </xf>
    <xf numFmtId="0" fontId="10" fillId="0" borderId="0" xfId="0" applyFont="1"/>
    <xf numFmtId="0" fontId="11" fillId="0" borderId="2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0" fillId="2" borderId="0" xfId="0" applyFill="1"/>
    <xf numFmtId="0" fontId="13" fillId="0" borderId="0" xfId="0" applyFont="1"/>
    <xf numFmtId="0" fontId="0" fillId="3" borderId="0" xfId="0" applyFill="1"/>
    <xf numFmtId="0" fontId="14" fillId="0" borderId="0" xfId="0" applyFont="1"/>
    <xf numFmtId="0" fontId="15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 indent="1"/>
    </xf>
    <xf numFmtId="164" fontId="6" fillId="0" borderId="3" xfId="0" applyNumberFormat="1" applyFont="1" applyBorder="1" applyAlignment="1">
      <alignment horizontal="left" vertical="top" indent="1"/>
    </xf>
    <xf numFmtId="165" fontId="16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0" fontId="0" fillId="0" borderId="4" xfId="0" applyBorder="1"/>
    <xf numFmtId="0" fontId="16" fillId="4" borderId="0" xfId="0" applyFont="1" applyFill="1" applyAlignment="1">
      <alignment vertical="center" indent="1"/>
    </xf>
    <xf numFmtId="0" fontId="0" fillId="0" borderId="5" xfId="0" applyBorder="1"/>
    <xf numFmtId="0" fontId="17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10" fillId="0" borderId="6" xfId="0" applyFont="1" applyBorder="1" applyAlignment="1">
      <alignment vertical="top"/>
    </xf>
    <xf numFmtId="165" fontId="6" fillId="0" borderId="6" xfId="0" applyNumberFormat="1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9" fillId="0" borderId="0" xfId="0" applyFont="1"/>
    <xf numFmtId="0" fontId="15" fillId="3" borderId="0" xfId="0" applyFont="1" applyFill="1"/>
    <xf numFmtId="0" fontId="8" fillId="0" borderId="5" xfId="0" applyFont="1" applyBorder="1"/>
    <xf numFmtId="166" fontId="8" fillId="0" borderId="5" xfId="0" applyNumberFormat="1" applyFont="1" applyBorder="1"/>
  </cellXfs>
  <cellStyles count="1">
    <cellStyle name="Normal" xfId="0" builtinId="0"/>
  </cellStyles>
  <dxfs count="577"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ill>
        <patternFill patternType="solid">
          <bgColor rgb="FFE6F4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templates/2027-calen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A4F"/>
  </sheetPr>
  <dimension ref="B2:D19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26" customWidth="1"/>
    <col min="3" max="3" width="30" customWidth="1"/>
    <col min="4" max="4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4" x14ac:dyDescent="0.25">
      <c r="B5" s="3" t="s">
        <v>2</v>
      </c>
      <c r="D5" s="4" t="s">
        <v>3</v>
      </c>
    </row>
    <row r="7" ht="24" customHeight="1" spans="2:3" x14ac:dyDescent="0.25">
      <c r="B7" s="5" t="s">
        <v>4</v>
      </c>
      <c r="C7" s="6">
        <v>2027</v>
      </c>
    </row>
    <row r="8" ht="24" customHeight="1" spans="2:3" x14ac:dyDescent="0.25">
      <c r="B8" s="5" t="s">
        <v>5</v>
      </c>
      <c r="C8" s="6" t="s">
        <v>6</v>
      </c>
    </row>
    <row r="9" ht="24" customHeight="1" spans="2:3" x14ac:dyDescent="0.25">
      <c r="B9" s="5" t="s">
        <v>7</v>
      </c>
      <c r="C9" s="6" t="s">
        <v>8</v>
      </c>
    </row>
    <row r="12" spans="2:2" x14ac:dyDescent="0.25">
      <c r="B12" s="3" t="s">
        <v>9</v>
      </c>
    </row>
    <row r="13" ht="28" customHeight="1" spans="2:4" x14ac:dyDescent="0.25">
      <c r="B13" s="7" t="s">
        <v>10</v>
      </c>
      <c r="C13" s="8" t="s">
        <v>11</v>
      </c>
      <c r="D13" s="8"/>
    </row>
    <row r="14" ht="28" customHeight="1" spans="2:4" x14ac:dyDescent="0.25">
      <c r="B14" s="7" t="s">
        <v>12</v>
      </c>
      <c r="C14" s="8" t="s">
        <v>13</v>
      </c>
      <c r="D14" s="8"/>
    </row>
    <row r="15" ht="28" customHeight="1" spans="2:4" x14ac:dyDescent="0.25">
      <c r="B15" s="7" t="s">
        <v>14</v>
      </c>
      <c r="C15" s="8" t="s">
        <v>15</v>
      </c>
      <c r="D15" s="8"/>
    </row>
    <row r="16" ht="28" customHeight="1" spans="2:4" x14ac:dyDescent="0.25">
      <c r="B16" s="7" t="s">
        <v>16</v>
      </c>
      <c r="C16" s="8" t="s">
        <v>17</v>
      </c>
      <c r="D16" s="8"/>
    </row>
    <row r="17" ht="28" customHeight="1" spans="2:4" x14ac:dyDescent="0.25">
      <c r="B17" s="7" t="s">
        <v>18</v>
      </c>
      <c r="C17" s="8" t="s">
        <v>19</v>
      </c>
      <c r="D17" s="8"/>
    </row>
    <row r="19" ht="28" customHeight="1" spans="2:4" x14ac:dyDescent="0.25">
      <c r="B19" s="9" t="s">
        <v>20</v>
      </c>
      <c r="C19" s="9"/>
      <c r="D19" s="9"/>
    </row>
  </sheetData>
  <mergeCells count="6">
    <mergeCell ref="C13:D13"/>
    <mergeCell ref="C14:D14"/>
    <mergeCell ref="C15:D15"/>
    <mergeCell ref="C16:D16"/>
    <mergeCell ref="C17:D17"/>
    <mergeCell ref="B19:D19"/>
  </mergeCells>
  <dataValidations count="3">
    <dataValidation type="whole" sqref="C7">
      <formula1>1900</formula1>
      <formula2>9999</formula2>
    </dataValidation>
    <dataValidation type="list" sqref="C8">
      <formula1>"Monday,Sunday"</formula1>
    </dataValidation>
    <dataValidation type="list" sqref="C9">
      <formula1>'Lists'!$G$2:$G$20</formula1>
    </dataValidation>
  </dataValidation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34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4.2" customWidth="1"/>
    <col min="9" max="9" width="2.5" customWidth="1"/>
    <col min="10" max="16" width="4.2" customWidth="1"/>
    <col min="17" max="17" width="2.5" customWidth="1"/>
    <col min="18" max="24" width="4.2" customWidth="1"/>
    <col min="25" max="25" width="2.5" customWidth="1"/>
    <col min="26" max="32" width="4.2" customWidth="1"/>
    <col min="33" max="33" width="2.5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  <col min="47" max="47" width="9" hidden="1" customWidth="1"/>
    <col min="48" max="48" width="9" hidden="1" customWidth="1"/>
    <col min="49" max="49" width="9" hidden="1" customWidth="1"/>
    <col min="50" max="50" width="9" hidden="1" customWidth="1"/>
    <col min="51" max="51" width="9" hidden="1" customWidth="1"/>
    <col min="52" max="52" width="9" hidden="1" customWidth="1"/>
    <col min="53" max="53" width="9" hidden="1" customWidth="1"/>
    <col min="54" max="54" width="9" hidden="1" customWidth="1"/>
    <col min="55" max="55" width="9" hidden="1" customWidth="1"/>
    <col min="56" max="56" width="9" hidden="1" customWidth="1"/>
    <col min="57" max="57" width="9" hidden="1" customWidth="1"/>
    <col min="58" max="58" width="9" hidden="1" customWidth="1"/>
    <col min="59" max="59" width="9" hidden="1" customWidth="1"/>
    <col min="60" max="60" width="9" hidden="1" customWidth="1"/>
    <col min="61" max="61" width="9" hidden="1" customWidth="1"/>
    <col min="62" max="62" width="9" hidden="1" customWidth="1"/>
    <col min="63" max="63" width="9" hidden="1" customWidth="1"/>
    <col min="64" max="64" width="9" hidden="1" customWidth="1"/>
    <col min="65" max="65" width="9" hidden="1" customWidth="1"/>
    <col min="66" max="66" width="9" hidden="1" customWidth="1"/>
    <col min="67" max="67" width="9" hidden="1" customWidth="1"/>
    <col min="68" max="68" width="9" hidden="1" customWidth="1"/>
    <col min="69" max="69" width="9" hidden="1" customWidth="1"/>
    <col min="70" max="70" width="9" hidden="1" customWidth="1"/>
    <col min="71" max="71" width="9" hidden="1" customWidth="1"/>
    <col min="72" max="72" width="9" hidden="1" customWidth="1"/>
    <col min="73" max="73" width="9" hidden="1" customWidth="1"/>
  </cols>
  <sheetData>
    <row r="2" ht="34" customHeight="1" spans="2:33" x14ac:dyDescent="0.25">
      <c r="B2" s="10">
        <f>CalYear</f>
        <v>2027</v>
      </c>
      <c r="C2" s="10"/>
      <c r="D2" s="10"/>
      <c r="E2" s="10"/>
      <c r="F2" s="10"/>
      <c r="G2" s="10"/>
      <c r="H2" s="10"/>
      <c r="AG2" s="11" t="s">
        <v>1</v>
      </c>
    </row>
    <row r="4" spans="2:32" x14ac:dyDescent="0.25">
      <c r="B4" s="12" t="str">
        <f>INDEX(MonthNames,1)</f>
        <v>January</v>
      </c>
      <c r="C4" s="12"/>
      <c r="D4" s="12"/>
      <c r="E4" s="12"/>
      <c r="F4" s="12"/>
      <c r="G4" s="12"/>
      <c r="H4" s="12"/>
      <c r="J4" s="12" t="str">
        <f>INDEX(MonthNames,2)</f>
        <v>February</v>
      </c>
      <c r="K4" s="12"/>
      <c r="L4" s="12"/>
      <c r="M4" s="12"/>
      <c r="N4" s="12"/>
      <c r="O4" s="12"/>
      <c r="P4" s="12"/>
      <c r="R4" s="12" t="str">
        <f>INDEX(MonthNames,3)</f>
        <v>March</v>
      </c>
      <c r="S4" s="12"/>
      <c r="T4" s="12"/>
      <c r="U4" s="12"/>
      <c r="V4" s="12"/>
      <c r="W4" s="12"/>
      <c r="X4" s="12"/>
      <c r="Z4" s="12" t="str">
        <f>INDEX(MonthNames,4)</f>
        <v>April</v>
      </c>
      <c r="AA4" s="12"/>
      <c r="AB4" s="12"/>
      <c r="AC4" s="12"/>
      <c r="AD4" s="12"/>
      <c r="AE4" s="12"/>
      <c r="AF4" s="12"/>
    </row>
    <row r="5" spans="2:32" x14ac:dyDescent="0.25">
      <c r="B5" s="13" t="str">
        <f>INDEX(DayInitial,MOD(0+IF(WeekType=2,0,6),7)+1)</f>
        <v>M</v>
      </c>
      <c r="C5" s="13" t="str">
        <f>INDEX(DayInitial,MOD(1+IF(WeekType=2,0,6),7)+1)</f>
        <v>T</v>
      </c>
      <c r="D5" s="13" t="str">
        <f>INDEX(DayInitial,MOD(2+IF(WeekType=2,0,6),7)+1)</f>
        <v>W</v>
      </c>
      <c r="E5" s="13" t="str">
        <f>INDEX(DayInitial,MOD(3+IF(WeekType=2,0,6),7)+1)</f>
        <v>T</v>
      </c>
      <c r="F5" s="13" t="str">
        <f>INDEX(DayInitial,MOD(4+IF(WeekType=2,0,6),7)+1)</f>
        <v>F</v>
      </c>
      <c r="G5" s="13" t="str">
        <f>INDEX(DayInitial,MOD(5+IF(WeekType=2,0,6),7)+1)</f>
        <v>S</v>
      </c>
      <c r="H5" s="13" t="str">
        <f>INDEX(DayInitial,MOD(6+IF(WeekType=2,0,6),7)+1)</f>
        <v>S</v>
      </c>
      <c r="J5" s="13" t="str">
        <f>INDEX(DayInitial,MOD(0+IF(WeekType=2,0,6),7)+1)</f>
        <v>M</v>
      </c>
      <c r="K5" s="13" t="str">
        <f>INDEX(DayInitial,MOD(1+IF(WeekType=2,0,6),7)+1)</f>
        <v>T</v>
      </c>
      <c r="L5" s="13" t="str">
        <f>INDEX(DayInitial,MOD(2+IF(WeekType=2,0,6),7)+1)</f>
        <v>W</v>
      </c>
      <c r="M5" s="13" t="str">
        <f>INDEX(DayInitial,MOD(3+IF(WeekType=2,0,6),7)+1)</f>
        <v>T</v>
      </c>
      <c r="N5" s="13" t="str">
        <f>INDEX(DayInitial,MOD(4+IF(WeekType=2,0,6),7)+1)</f>
        <v>F</v>
      </c>
      <c r="O5" s="13" t="str">
        <f>INDEX(DayInitial,MOD(5+IF(WeekType=2,0,6),7)+1)</f>
        <v>S</v>
      </c>
      <c r="P5" s="13" t="str">
        <f>INDEX(DayInitial,MOD(6+IF(WeekType=2,0,6),7)+1)</f>
        <v>S</v>
      </c>
      <c r="R5" s="13" t="str">
        <f>INDEX(DayInitial,MOD(0+IF(WeekType=2,0,6),7)+1)</f>
        <v>M</v>
      </c>
      <c r="S5" s="13" t="str">
        <f>INDEX(DayInitial,MOD(1+IF(WeekType=2,0,6),7)+1)</f>
        <v>T</v>
      </c>
      <c r="T5" s="13" t="str">
        <f>INDEX(DayInitial,MOD(2+IF(WeekType=2,0,6),7)+1)</f>
        <v>W</v>
      </c>
      <c r="U5" s="13" t="str">
        <f>INDEX(DayInitial,MOD(3+IF(WeekType=2,0,6),7)+1)</f>
        <v>T</v>
      </c>
      <c r="V5" s="13" t="str">
        <f>INDEX(DayInitial,MOD(4+IF(WeekType=2,0,6),7)+1)</f>
        <v>F</v>
      </c>
      <c r="W5" s="13" t="str">
        <f>INDEX(DayInitial,MOD(5+IF(WeekType=2,0,6),7)+1)</f>
        <v>S</v>
      </c>
      <c r="X5" s="13" t="str">
        <f>INDEX(DayInitial,MOD(6+IF(WeekType=2,0,6),7)+1)</f>
        <v>S</v>
      </c>
      <c r="Z5" s="13" t="str">
        <f>INDEX(DayInitial,MOD(0+IF(WeekType=2,0,6),7)+1)</f>
        <v>M</v>
      </c>
      <c r="AA5" s="13" t="str">
        <f>INDEX(DayInitial,MOD(1+IF(WeekType=2,0,6),7)+1)</f>
        <v>T</v>
      </c>
      <c r="AB5" s="13" t="str">
        <f>INDEX(DayInitial,MOD(2+IF(WeekType=2,0,6),7)+1)</f>
        <v>W</v>
      </c>
      <c r="AC5" s="13" t="str">
        <f>INDEX(DayInitial,MOD(3+IF(WeekType=2,0,6),7)+1)</f>
        <v>T</v>
      </c>
      <c r="AD5" s="13" t="str">
        <f>INDEX(DayInitial,MOD(4+IF(WeekType=2,0,6),7)+1)</f>
        <v>F</v>
      </c>
      <c r="AE5" s="13" t="str">
        <f>INDEX(DayInitial,MOD(5+IF(WeekType=2,0,6),7)+1)</f>
        <v>S</v>
      </c>
      <c r="AF5" s="13" t="str">
        <f>INDEX(DayInitial,MOD(6+IF(WeekType=2,0,6),7)+1)</f>
        <v>S</v>
      </c>
    </row>
    <row r="6" spans="2:72" x14ac:dyDescent="0.25">
      <c r="B6" s="14">
        <f>DATE(CalYear,1,1)-WEEKDAY(DATE(CalYear,1,1),WeekType)+1+0</f>
        <v>46384</v>
      </c>
      <c r="C6" s="14">
        <f>DATE(CalYear,1,1)-WEEKDAY(DATE(CalYear,1,1),WeekType)+1+1</f>
        <v>46385</v>
      </c>
      <c r="D6" s="14">
        <f>DATE(CalYear,1,1)-WEEKDAY(DATE(CalYear,1,1),WeekType)+1+2</f>
        <v>46386</v>
      </c>
      <c r="E6" s="14">
        <f>DATE(CalYear,1,1)-WEEKDAY(DATE(CalYear,1,1),WeekType)+1+3</f>
        <v>46387</v>
      </c>
      <c r="F6" s="14">
        <f>DATE(CalYear,1,1)-WEEKDAY(DATE(CalYear,1,1),WeekType)+1+4</f>
        <v>46388</v>
      </c>
      <c r="G6" s="14">
        <f>DATE(CalYear,1,1)-WEEKDAY(DATE(CalYear,1,1),WeekType)+1+5</f>
        <v>46389</v>
      </c>
      <c r="H6" s="14">
        <f>DATE(CalYear,1,1)-WEEKDAY(DATE(CalYear,1,1),WeekType)+1+6</f>
        <v>46390</v>
      </c>
      <c r="J6" s="14">
        <f>DATE(CalYear,2,1)-WEEKDAY(DATE(CalYear,2,1),WeekType)+1+0</f>
        <v>46419</v>
      </c>
      <c r="K6" s="14">
        <f>DATE(CalYear,2,1)-WEEKDAY(DATE(CalYear,2,1),WeekType)+1+1</f>
        <v>46420</v>
      </c>
      <c r="L6" s="14">
        <f>DATE(CalYear,2,1)-WEEKDAY(DATE(CalYear,2,1),WeekType)+1+2</f>
        <v>46421</v>
      </c>
      <c r="M6" s="14">
        <f>DATE(CalYear,2,1)-WEEKDAY(DATE(CalYear,2,1),WeekType)+1+3</f>
        <v>46422</v>
      </c>
      <c r="N6" s="14">
        <f>DATE(CalYear,2,1)-WEEKDAY(DATE(CalYear,2,1),WeekType)+1+4</f>
        <v>46423</v>
      </c>
      <c r="O6" s="14">
        <f>DATE(CalYear,2,1)-WEEKDAY(DATE(CalYear,2,1),WeekType)+1+5</f>
        <v>46424</v>
      </c>
      <c r="P6" s="14">
        <f>DATE(CalYear,2,1)-WEEKDAY(DATE(CalYear,2,1),WeekType)+1+6</f>
        <v>46425</v>
      </c>
      <c r="R6" s="14">
        <f>DATE(CalYear,3,1)-WEEKDAY(DATE(CalYear,3,1),WeekType)+1+0</f>
        <v>46447</v>
      </c>
      <c r="S6" s="14">
        <f>DATE(CalYear,3,1)-WEEKDAY(DATE(CalYear,3,1),WeekType)+1+1</f>
        <v>46448</v>
      </c>
      <c r="T6" s="14">
        <f>DATE(CalYear,3,1)-WEEKDAY(DATE(CalYear,3,1),WeekType)+1+2</f>
        <v>46449</v>
      </c>
      <c r="U6" s="14">
        <f>DATE(CalYear,3,1)-WEEKDAY(DATE(CalYear,3,1),WeekType)+1+3</f>
        <v>46450</v>
      </c>
      <c r="V6" s="14">
        <f>DATE(CalYear,3,1)-WEEKDAY(DATE(CalYear,3,1),WeekType)+1+4</f>
        <v>46451</v>
      </c>
      <c r="W6" s="14">
        <f>DATE(CalYear,3,1)-WEEKDAY(DATE(CalYear,3,1),WeekType)+1+5</f>
        <v>46452</v>
      </c>
      <c r="X6" s="14">
        <f>DATE(CalYear,3,1)-WEEKDAY(DATE(CalYear,3,1),WeekType)+1+6</f>
        <v>46453</v>
      </c>
      <c r="Z6" s="14">
        <f>DATE(CalYear,4,1)-WEEKDAY(DATE(CalYear,4,1),WeekType)+1+0</f>
        <v>46475</v>
      </c>
      <c r="AA6" s="14">
        <f>DATE(CalYear,4,1)-WEEKDAY(DATE(CalYear,4,1),WeekType)+1+1</f>
        <v>46476</v>
      </c>
      <c r="AB6" s="14">
        <f>DATE(CalYear,4,1)-WEEKDAY(DATE(CalYear,4,1),WeekType)+1+2</f>
        <v>46477</v>
      </c>
      <c r="AC6" s="14">
        <f>DATE(CalYear,4,1)-WEEKDAY(DATE(CalYear,4,1),WeekType)+1+3</f>
        <v>46478</v>
      </c>
      <c r="AD6" s="14">
        <f>DATE(CalYear,4,1)-WEEKDAY(DATE(CalYear,4,1),WeekType)+1+4</f>
        <v>46479</v>
      </c>
      <c r="AE6" s="14">
        <f>DATE(CalYear,4,1)-WEEKDAY(DATE(CalYear,4,1),WeekType)+1+5</f>
        <v>46480</v>
      </c>
      <c r="AF6" s="14">
        <f>DATE(CalYear,4,1)-WEEKDAY(DATE(CalYear,4,1),WeekType)+1+6</f>
        <v>46481</v>
      </c>
      <c r="AP6">
        <f>IF(COUNTIF(HolShownDate,B6)&gt;0,1,0)</f>
        <v>0</v>
      </c>
      <c r="AQ6">
        <f>IF(COUNTIF(HolShownDate,C6)&gt;0,1,0)</f>
        <v>0</v>
      </c>
      <c r="AR6">
        <f>IF(COUNTIF(HolShownDate,D6)&gt;0,1,0)</f>
        <v>0</v>
      </c>
      <c r="AS6">
        <f>IF(COUNTIF(HolShownDate,E6)&gt;0,1,0)</f>
        <v>0</v>
      </c>
      <c r="AT6">
        <f>IF(COUNTIF(HolShownDate,F6)&gt;0,1,0)</f>
        <v>1</v>
      </c>
      <c r="AU6">
        <f>IF(COUNTIF(HolShownDate,G6)&gt;0,1,0)</f>
        <v>0</v>
      </c>
      <c r="AV6">
        <f>IF(COUNTIF(HolShownDate,H6)&gt;0,1,0)</f>
        <v>0</v>
      </c>
      <c r="AX6">
        <f>IF(COUNTIF(HolShownDate,J6)&gt;0,1,0)</f>
        <v>0</v>
      </c>
      <c r="AY6">
        <f>IF(COUNTIF(HolShownDate,K6)&gt;0,1,0)</f>
        <v>0</v>
      </c>
      <c r="AZ6">
        <f>IF(COUNTIF(HolShownDate,L6)&gt;0,1,0)</f>
        <v>0</v>
      </c>
      <c r="BA6">
        <f>IF(COUNTIF(HolShownDate,M6)&gt;0,1,0)</f>
        <v>0</v>
      </c>
      <c r="BB6">
        <f>IF(COUNTIF(HolShownDate,N6)&gt;0,1,0)</f>
        <v>0</v>
      </c>
      <c r="BC6">
        <f>IF(COUNTIF(HolShownDate,O6)&gt;0,1,0)</f>
        <v>0</v>
      </c>
      <c r="BD6">
        <f>IF(COUNTIF(HolShownDate,P6)&gt;0,1,0)</f>
        <v>0</v>
      </c>
      <c r="BF6">
        <f>IF(COUNTIF(HolShownDate,R6)&gt;0,1,0)</f>
        <v>0</v>
      </c>
      <c r="BG6">
        <f>IF(COUNTIF(HolShownDate,S6)&gt;0,1,0)</f>
        <v>0</v>
      </c>
      <c r="BH6">
        <f>IF(COUNTIF(HolShownDate,T6)&gt;0,1,0)</f>
        <v>0</v>
      </c>
      <c r="BI6">
        <f>IF(COUNTIF(HolShownDate,U6)&gt;0,1,0)</f>
        <v>0</v>
      </c>
      <c r="BJ6">
        <f>IF(COUNTIF(HolShownDate,V6)&gt;0,1,0)</f>
        <v>0</v>
      </c>
      <c r="BK6">
        <f>IF(COUNTIF(HolShownDate,W6)&gt;0,1,0)</f>
        <v>0</v>
      </c>
      <c r="BL6">
        <f>IF(COUNTIF(HolShownDate,X6)&gt;0,1,0)</f>
        <v>0</v>
      </c>
      <c r="BN6">
        <f>IF(COUNTIF(HolShownDate,Z6)&gt;0,1,0)</f>
        <v>0</v>
      </c>
      <c r="BO6">
        <f>IF(COUNTIF(HolShownDate,AA6)&gt;0,1,0)</f>
        <v>0</v>
      </c>
      <c r="BP6">
        <f>IF(COUNTIF(HolShownDate,AB6)&gt;0,1,0)</f>
        <v>0</v>
      </c>
      <c r="BQ6">
        <f>IF(COUNTIF(HolShownDate,AC6)&gt;0,1,0)</f>
        <v>0</v>
      </c>
      <c r="BR6">
        <f>IF(COUNTIF(HolShownDate,AD6)&gt;0,1,0)</f>
        <v>0</v>
      </c>
      <c r="BS6">
        <f>IF(COUNTIF(HolShownDate,AE6)&gt;0,1,0)</f>
        <v>0</v>
      </c>
      <c r="BT6">
        <f>IF(COUNTIF(HolShownDate,AF6)&gt;0,1,0)</f>
        <v>0</v>
      </c>
    </row>
    <row r="7" spans="2:72" x14ac:dyDescent="0.25">
      <c r="B7" s="14">
        <f>DATE(CalYear,1,1)-WEEKDAY(DATE(CalYear,1,1),WeekType)+1+7</f>
        <v>46391</v>
      </c>
      <c r="C7" s="14">
        <f>DATE(CalYear,1,1)-WEEKDAY(DATE(CalYear,1,1),WeekType)+1+8</f>
        <v>46392</v>
      </c>
      <c r="D7" s="14">
        <f>DATE(CalYear,1,1)-WEEKDAY(DATE(CalYear,1,1),WeekType)+1+9</f>
        <v>46393</v>
      </c>
      <c r="E7" s="14">
        <f>DATE(CalYear,1,1)-WEEKDAY(DATE(CalYear,1,1),WeekType)+1+10</f>
        <v>46394</v>
      </c>
      <c r="F7" s="14">
        <f>DATE(CalYear,1,1)-WEEKDAY(DATE(CalYear,1,1),WeekType)+1+11</f>
        <v>46395</v>
      </c>
      <c r="G7" s="14">
        <f>DATE(CalYear,1,1)-WEEKDAY(DATE(CalYear,1,1),WeekType)+1+12</f>
        <v>46396</v>
      </c>
      <c r="H7" s="14">
        <f>DATE(CalYear,1,1)-WEEKDAY(DATE(CalYear,1,1),WeekType)+1+13</f>
        <v>46397</v>
      </c>
      <c r="J7" s="14">
        <f>DATE(CalYear,2,1)-WEEKDAY(DATE(CalYear,2,1),WeekType)+1+7</f>
        <v>46426</v>
      </c>
      <c r="K7" s="14">
        <f>DATE(CalYear,2,1)-WEEKDAY(DATE(CalYear,2,1),WeekType)+1+8</f>
        <v>46427</v>
      </c>
      <c r="L7" s="14">
        <f>DATE(CalYear,2,1)-WEEKDAY(DATE(CalYear,2,1),WeekType)+1+9</f>
        <v>46428</v>
      </c>
      <c r="M7" s="14">
        <f>DATE(CalYear,2,1)-WEEKDAY(DATE(CalYear,2,1),WeekType)+1+10</f>
        <v>46429</v>
      </c>
      <c r="N7" s="14">
        <f>DATE(CalYear,2,1)-WEEKDAY(DATE(CalYear,2,1),WeekType)+1+11</f>
        <v>46430</v>
      </c>
      <c r="O7" s="14">
        <f>DATE(CalYear,2,1)-WEEKDAY(DATE(CalYear,2,1),WeekType)+1+12</f>
        <v>46431</v>
      </c>
      <c r="P7" s="14">
        <f>DATE(CalYear,2,1)-WEEKDAY(DATE(CalYear,2,1),WeekType)+1+13</f>
        <v>46432</v>
      </c>
      <c r="R7" s="14">
        <f>DATE(CalYear,3,1)-WEEKDAY(DATE(CalYear,3,1),WeekType)+1+7</f>
        <v>46454</v>
      </c>
      <c r="S7" s="14">
        <f>DATE(CalYear,3,1)-WEEKDAY(DATE(CalYear,3,1),WeekType)+1+8</f>
        <v>46455</v>
      </c>
      <c r="T7" s="14">
        <f>DATE(CalYear,3,1)-WEEKDAY(DATE(CalYear,3,1),WeekType)+1+9</f>
        <v>46456</v>
      </c>
      <c r="U7" s="14">
        <f>DATE(CalYear,3,1)-WEEKDAY(DATE(CalYear,3,1),WeekType)+1+10</f>
        <v>46457</v>
      </c>
      <c r="V7" s="14">
        <f>DATE(CalYear,3,1)-WEEKDAY(DATE(CalYear,3,1),WeekType)+1+11</f>
        <v>46458</v>
      </c>
      <c r="W7" s="14">
        <f>DATE(CalYear,3,1)-WEEKDAY(DATE(CalYear,3,1),WeekType)+1+12</f>
        <v>46459</v>
      </c>
      <c r="X7" s="14">
        <f>DATE(CalYear,3,1)-WEEKDAY(DATE(CalYear,3,1),WeekType)+1+13</f>
        <v>46460</v>
      </c>
      <c r="Z7" s="14">
        <f>DATE(CalYear,4,1)-WEEKDAY(DATE(CalYear,4,1),WeekType)+1+7</f>
        <v>46482</v>
      </c>
      <c r="AA7" s="14">
        <f>DATE(CalYear,4,1)-WEEKDAY(DATE(CalYear,4,1),WeekType)+1+8</f>
        <v>46483</v>
      </c>
      <c r="AB7" s="14">
        <f>DATE(CalYear,4,1)-WEEKDAY(DATE(CalYear,4,1),WeekType)+1+9</f>
        <v>46484</v>
      </c>
      <c r="AC7" s="14">
        <f>DATE(CalYear,4,1)-WEEKDAY(DATE(CalYear,4,1),WeekType)+1+10</f>
        <v>46485</v>
      </c>
      <c r="AD7" s="14">
        <f>DATE(CalYear,4,1)-WEEKDAY(DATE(CalYear,4,1),WeekType)+1+11</f>
        <v>46486</v>
      </c>
      <c r="AE7" s="14">
        <f>DATE(CalYear,4,1)-WEEKDAY(DATE(CalYear,4,1),WeekType)+1+12</f>
        <v>46487</v>
      </c>
      <c r="AF7" s="14">
        <f>DATE(CalYear,4,1)-WEEKDAY(DATE(CalYear,4,1),WeekType)+1+13</f>
        <v>46488</v>
      </c>
      <c r="AP7">
        <f>IF(COUNTIF(HolShownDate,B7)&gt;0,1,0)</f>
        <v>0</v>
      </c>
      <c r="AQ7">
        <f>IF(COUNTIF(HolShownDate,C7)&gt;0,1,0)</f>
        <v>0</v>
      </c>
      <c r="AR7">
        <f>IF(COUNTIF(HolShownDate,D7)&gt;0,1,0)</f>
        <v>0</v>
      </c>
      <c r="AS7">
        <f>IF(COUNTIF(HolShownDate,E7)&gt;0,1,0)</f>
        <v>0</v>
      </c>
      <c r="AT7">
        <f>IF(COUNTIF(HolShownDate,F7)&gt;0,1,0)</f>
        <v>0</v>
      </c>
      <c r="AU7">
        <f>IF(COUNTIF(HolShownDate,G7)&gt;0,1,0)</f>
        <v>0</v>
      </c>
      <c r="AV7">
        <f>IF(COUNTIF(HolShownDate,H7)&gt;0,1,0)</f>
        <v>0</v>
      </c>
      <c r="AX7">
        <f>IF(COUNTIF(HolShownDate,J7)&gt;0,1,0)</f>
        <v>0</v>
      </c>
      <c r="AY7">
        <f>IF(COUNTIF(HolShownDate,K7)&gt;0,1,0)</f>
        <v>0</v>
      </c>
      <c r="AZ7">
        <f>IF(COUNTIF(HolShownDate,L7)&gt;0,1,0)</f>
        <v>0</v>
      </c>
      <c r="BA7">
        <f>IF(COUNTIF(HolShownDate,M7)&gt;0,1,0)</f>
        <v>0</v>
      </c>
      <c r="BB7">
        <f>IF(COUNTIF(HolShownDate,N7)&gt;0,1,0)</f>
        <v>0</v>
      </c>
      <c r="BC7">
        <f>IF(COUNTIF(HolShownDate,O7)&gt;0,1,0)</f>
        <v>0</v>
      </c>
      <c r="BD7">
        <f>IF(COUNTIF(HolShownDate,P7)&gt;0,1,0)</f>
        <v>0</v>
      </c>
      <c r="BF7">
        <f>IF(COUNTIF(HolShownDate,R7)&gt;0,1,0)</f>
        <v>0</v>
      </c>
      <c r="BG7">
        <f>IF(COUNTIF(HolShownDate,S7)&gt;0,1,0)</f>
        <v>0</v>
      </c>
      <c r="BH7">
        <f>IF(COUNTIF(HolShownDate,T7)&gt;0,1,0)</f>
        <v>0</v>
      </c>
      <c r="BI7">
        <f>IF(COUNTIF(HolShownDate,U7)&gt;0,1,0)</f>
        <v>0</v>
      </c>
      <c r="BJ7">
        <f>IF(COUNTIF(HolShownDate,V7)&gt;0,1,0)</f>
        <v>0</v>
      </c>
      <c r="BK7">
        <f>IF(COUNTIF(HolShownDate,W7)&gt;0,1,0)</f>
        <v>0</v>
      </c>
      <c r="BL7">
        <f>IF(COUNTIF(HolShownDate,X7)&gt;0,1,0)</f>
        <v>0</v>
      </c>
      <c r="BN7">
        <f>IF(COUNTIF(HolShownDate,Z7)&gt;0,1,0)</f>
        <v>0</v>
      </c>
      <c r="BO7">
        <f>IF(COUNTIF(HolShownDate,AA7)&gt;0,1,0)</f>
        <v>0</v>
      </c>
      <c r="BP7">
        <f>IF(COUNTIF(HolShownDate,AB7)&gt;0,1,0)</f>
        <v>0</v>
      </c>
      <c r="BQ7">
        <f>IF(COUNTIF(HolShownDate,AC7)&gt;0,1,0)</f>
        <v>0</v>
      </c>
      <c r="BR7">
        <f>IF(COUNTIF(HolShownDate,AD7)&gt;0,1,0)</f>
        <v>0</v>
      </c>
      <c r="BS7">
        <f>IF(COUNTIF(HolShownDate,AE7)&gt;0,1,0)</f>
        <v>0</v>
      </c>
      <c r="BT7">
        <f>IF(COUNTIF(HolShownDate,AF7)&gt;0,1,0)</f>
        <v>0</v>
      </c>
    </row>
    <row r="8" spans="2:72" x14ac:dyDescent="0.25">
      <c r="B8" s="14">
        <f>DATE(CalYear,1,1)-WEEKDAY(DATE(CalYear,1,1),WeekType)+1+14</f>
        <v>46398</v>
      </c>
      <c r="C8" s="14">
        <f>DATE(CalYear,1,1)-WEEKDAY(DATE(CalYear,1,1),WeekType)+1+15</f>
        <v>46399</v>
      </c>
      <c r="D8" s="14">
        <f>DATE(CalYear,1,1)-WEEKDAY(DATE(CalYear,1,1),WeekType)+1+16</f>
        <v>46400</v>
      </c>
      <c r="E8" s="14">
        <f>DATE(CalYear,1,1)-WEEKDAY(DATE(CalYear,1,1),WeekType)+1+17</f>
        <v>46401</v>
      </c>
      <c r="F8" s="14">
        <f>DATE(CalYear,1,1)-WEEKDAY(DATE(CalYear,1,1),WeekType)+1+18</f>
        <v>46402</v>
      </c>
      <c r="G8" s="14">
        <f>DATE(CalYear,1,1)-WEEKDAY(DATE(CalYear,1,1),WeekType)+1+19</f>
        <v>46403</v>
      </c>
      <c r="H8" s="14">
        <f>DATE(CalYear,1,1)-WEEKDAY(DATE(CalYear,1,1),WeekType)+1+20</f>
        <v>46404</v>
      </c>
      <c r="J8" s="14">
        <f>DATE(CalYear,2,1)-WEEKDAY(DATE(CalYear,2,1),WeekType)+1+14</f>
        <v>46433</v>
      </c>
      <c r="K8" s="14">
        <f>DATE(CalYear,2,1)-WEEKDAY(DATE(CalYear,2,1),WeekType)+1+15</f>
        <v>46434</v>
      </c>
      <c r="L8" s="14">
        <f>DATE(CalYear,2,1)-WEEKDAY(DATE(CalYear,2,1),WeekType)+1+16</f>
        <v>46435</v>
      </c>
      <c r="M8" s="14">
        <f>DATE(CalYear,2,1)-WEEKDAY(DATE(CalYear,2,1),WeekType)+1+17</f>
        <v>46436</v>
      </c>
      <c r="N8" s="14">
        <f>DATE(CalYear,2,1)-WEEKDAY(DATE(CalYear,2,1),WeekType)+1+18</f>
        <v>46437</v>
      </c>
      <c r="O8" s="14">
        <f>DATE(CalYear,2,1)-WEEKDAY(DATE(CalYear,2,1),WeekType)+1+19</f>
        <v>46438</v>
      </c>
      <c r="P8" s="14">
        <f>DATE(CalYear,2,1)-WEEKDAY(DATE(CalYear,2,1),WeekType)+1+20</f>
        <v>46439</v>
      </c>
      <c r="R8" s="14">
        <f>DATE(CalYear,3,1)-WEEKDAY(DATE(CalYear,3,1),WeekType)+1+14</f>
        <v>46461</v>
      </c>
      <c r="S8" s="14">
        <f>DATE(CalYear,3,1)-WEEKDAY(DATE(CalYear,3,1),WeekType)+1+15</f>
        <v>46462</v>
      </c>
      <c r="T8" s="14">
        <f>DATE(CalYear,3,1)-WEEKDAY(DATE(CalYear,3,1),WeekType)+1+16</f>
        <v>46463</v>
      </c>
      <c r="U8" s="14">
        <f>DATE(CalYear,3,1)-WEEKDAY(DATE(CalYear,3,1),WeekType)+1+17</f>
        <v>46464</v>
      </c>
      <c r="V8" s="14">
        <f>DATE(CalYear,3,1)-WEEKDAY(DATE(CalYear,3,1),WeekType)+1+18</f>
        <v>46465</v>
      </c>
      <c r="W8" s="14">
        <f>DATE(CalYear,3,1)-WEEKDAY(DATE(CalYear,3,1),WeekType)+1+19</f>
        <v>46466</v>
      </c>
      <c r="X8" s="14">
        <f>DATE(CalYear,3,1)-WEEKDAY(DATE(CalYear,3,1),WeekType)+1+20</f>
        <v>46467</v>
      </c>
      <c r="Z8" s="14">
        <f>DATE(CalYear,4,1)-WEEKDAY(DATE(CalYear,4,1),WeekType)+1+14</f>
        <v>46489</v>
      </c>
      <c r="AA8" s="14">
        <f>DATE(CalYear,4,1)-WEEKDAY(DATE(CalYear,4,1),WeekType)+1+15</f>
        <v>46490</v>
      </c>
      <c r="AB8" s="14">
        <f>DATE(CalYear,4,1)-WEEKDAY(DATE(CalYear,4,1),WeekType)+1+16</f>
        <v>46491</v>
      </c>
      <c r="AC8" s="14">
        <f>DATE(CalYear,4,1)-WEEKDAY(DATE(CalYear,4,1),WeekType)+1+17</f>
        <v>46492</v>
      </c>
      <c r="AD8" s="14">
        <f>DATE(CalYear,4,1)-WEEKDAY(DATE(CalYear,4,1),WeekType)+1+18</f>
        <v>46493</v>
      </c>
      <c r="AE8" s="14">
        <f>DATE(CalYear,4,1)-WEEKDAY(DATE(CalYear,4,1),WeekType)+1+19</f>
        <v>46494</v>
      </c>
      <c r="AF8" s="14">
        <f>DATE(CalYear,4,1)-WEEKDAY(DATE(CalYear,4,1),WeekType)+1+20</f>
        <v>46495</v>
      </c>
      <c r="AP8">
        <f>IF(COUNTIF(HolShownDate,B8)&gt;0,1,0)</f>
        <v>0</v>
      </c>
      <c r="AQ8">
        <f>IF(COUNTIF(HolShownDate,C8)&gt;0,1,0)</f>
        <v>0</v>
      </c>
      <c r="AR8">
        <f>IF(COUNTIF(HolShownDate,D8)&gt;0,1,0)</f>
        <v>0</v>
      </c>
      <c r="AS8">
        <f>IF(COUNTIF(HolShownDate,E8)&gt;0,1,0)</f>
        <v>0</v>
      </c>
      <c r="AT8">
        <f>IF(COUNTIF(HolShownDate,F8)&gt;0,1,0)</f>
        <v>0</v>
      </c>
      <c r="AU8">
        <f>IF(COUNTIF(HolShownDate,G8)&gt;0,1,0)</f>
        <v>0</v>
      </c>
      <c r="AV8">
        <f>IF(COUNTIF(HolShownDate,H8)&gt;0,1,0)</f>
        <v>0</v>
      </c>
      <c r="AX8">
        <f>IF(COUNTIF(HolShownDate,J8)&gt;0,1,0)</f>
        <v>1</v>
      </c>
      <c r="AY8">
        <f>IF(COUNTIF(HolShownDate,K8)&gt;0,1,0)</f>
        <v>0</v>
      </c>
      <c r="AZ8">
        <f>IF(COUNTIF(HolShownDate,L8)&gt;0,1,0)</f>
        <v>0</v>
      </c>
      <c r="BA8">
        <f>IF(COUNTIF(HolShownDate,M8)&gt;0,1,0)</f>
        <v>0</v>
      </c>
      <c r="BB8">
        <f>IF(COUNTIF(HolShownDate,N8)&gt;0,1,0)</f>
        <v>0</v>
      </c>
      <c r="BC8">
        <f>IF(COUNTIF(HolShownDate,O8)&gt;0,1,0)</f>
        <v>0</v>
      </c>
      <c r="BD8">
        <f>IF(COUNTIF(HolShownDate,P8)&gt;0,1,0)</f>
        <v>0</v>
      </c>
      <c r="BF8">
        <f>IF(COUNTIF(HolShownDate,R8)&gt;0,1,0)</f>
        <v>0</v>
      </c>
      <c r="BG8">
        <f>IF(COUNTIF(HolShownDate,S8)&gt;0,1,0)</f>
        <v>0</v>
      </c>
      <c r="BH8">
        <f>IF(COUNTIF(HolShownDate,T8)&gt;0,1,0)</f>
        <v>0</v>
      </c>
      <c r="BI8">
        <f>IF(COUNTIF(HolShownDate,U8)&gt;0,1,0)</f>
        <v>0</v>
      </c>
      <c r="BJ8">
        <f>IF(COUNTIF(HolShownDate,V8)&gt;0,1,0)</f>
        <v>0</v>
      </c>
      <c r="BK8">
        <f>IF(COUNTIF(HolShownDate,W8)&gt;0,1,0)</f>
        <v>0</v>
      </c>
      <c r="BL8">
        <f>IF(COUNTIF(HolShownDate,X8)&gt;0,1,0)</f>
        <v>0</v>
      </c>
      <c r="BN8">
        <f>IF(COUNTIF(HolShownDate,Z8)&gt;0,1,0)</f>
        <v>0</v>
      </c>
      <c r="BO8">
        <f>IF(COUNTIF(HolShownDate,AA8)&gt;0,1,0)</f>
        <v>0</v>
      </c>
      <c r="BP8">
        <f>IF(COUNTIF(HolShownDate,AB8)&gt;0,1,0)</f>
        <v>0</v>
      </c>
      <c r="BQ8">
        <f>IF(COUNTIF(HolShownDate,AC8)&gt;0,1,0)</f>
        <v>0</v>
      </c>
      <c r="BR8">
        <f>IF(COUNTIF(HolShownDate,AD8)&gt;0,1,0)</f>
        <v>0</v>
      </c>
      <c r="BS8">
        <f>IF(COUNTIF(HolShownDate,AE8)&gt;0,1,0)</f>
        <v>0</v>
      </c>
      <c r="BT8">
        <f>IF(COUNTIF(HolShownDate,AF8)&gt;0,1,0)</f>
        <v>0</v>
      </c>
    </row>
    <row r="9" spans="2:72" x14ac:dyDescent="0.25">
      <c r="B9" s="14">
        <f>DATE(CalYear,1,1)-WEEKDAY(DATE(CalYear,1,1),WeekType)+1+21</f>
        <v>46405</v>
      </c>
      <c r="C9" s="14">
        <f>DATE(CalYear,1,1)-WEEKDAY(DATE(CalYear,1,1),WeekType)+1+22</f>
        <v>46406</v>
      </c>
      <c r="D9" s="14">
        <f>DATE(CalYear,1,1)-WEEKDAY(DATE(CalYear,1,1),WeekType)+1+23</f>
        <v>46407</v>
      </c>
      <c r="E9" s="14">
        <f>DATE(CalYear,1,1)-WEEKDAY(DATE(CalYear,1,1),WeekType)+1+24</f>
        <v>46408</v>
      </c>
      <c r="F9" s="14">
        <f>DATE(CalYear,1,1)-WEEKDAY(DATE(CalYear,1,1),WeekType)+1+25</f>
        <v>46409</v>
      </c>
      <c r="G9" s="14">
        <f>DATE(CalYear,1,1)-WEEKDAY(DATE(CalYear,1,1),WeekType)+1+26</f>
        <v>46410</v>
      </c>
      <c r="H9" s="14">
        <f>DATE(CalYear,1,1)-WEEKDAY(DATE(CalYear,1,1),WeekType)+1+27</f>
        <v>46411</v>
      </c>
      <c r="J9" s="14">
        <f>DATE(CalYear,2,1)-WEEKDAY(DATE(CalYear,2,1),WeekType)+1+21</f>
        <v>46440</v>
      </c>
      <c r="K9" s="14">
        <f>DATE(CalYear,2,1)-WEEKDAY(DATE(CalYear,2,1),WeekType)+1+22</f>
        <v>46441</v>
      </c>
      <c r="L9" s="14">
        <f>DATE(CalYear,2,1)-WEEKDAY(DATE(CalYear,2,1),WeekType)+1+23</f>
        <v>46442</v>
      </c>
      <c r="M9" s="14">
        <f>DATE(CalYear,2,1)-WEEKDAY(DATE(CalYear,2,1),WeekType)+1+24</f>
        <v>46443</v>
      </c>
      <c r="N9" s="14">
        <f>DATE(CalYear,2,1)-WEEKDAY(DATE(CalYear,2,1),WeekType)+1+25</f>
        <v>46444</v>
      </c>
      <c r="O9" s="14">
        <f>DATE(CalYear,2,1)-WEEKDAY(DATE(CalYear,2,1),WeekType)+1+26</f>
        <v>46445</v>
      </c>
      <c r="P9" s="14">
        <f>DATE(CalYear,2,1)-WEEKDAY(DATE(CalYear,2,1),WeekType)+1+27</f>
        <v>46446</v>
      </c>
      <c r="R9" s="14">
        <f>DATE(CalYear,3,1)-WEEKDAY(DATE(CalYear,3,1),WeekType)+1+21</f>
        <v>46468</v>
      </c>
      <c r="S9" s="14">
        <f>DATE(CalYear,3,1)-WEEKDAY(DATE(CalYear,3,1),WeekType)+1+22</f>
        <v>46469</v>
      </c>
      <c r="T9" s="14">
        <f>DATE(CalYear,3,1)-WEEKDAY(DATE(CalYear,3,1),WeekType)+1+23</f>
        <v>46470</v>
      </c>
      <c r="U9" s="14">
        <f>DATE(CalYear,3,1)-WEEKDAY(DATE(CalYear,3,1),WeekType)+1+24</f>
        <v>46471</v>
      </c>
      <c r="V9" s="14">
        <f>DATE(CalYear,3,1)-WEEKDAY(DATE(CalYear,3,1),WeekType)+1+25</f>
        <v>46472</v>
      </c>
      <c r="W9" s="14">
        <f>DATE(CalYear,3,1)-WEEKDAY(DATE(CalYear,3,1),WeekType)+1+26</f>
        <v>46473</v>
      </c>
      <c r="X9" s="14">
        <f>DATE(CalYear,3,1)-WEEKDAY(DATE(CalYear,3,1),WeekType)+1+27</f>
        <v>46474</v>
      </c>
      <c r="Z9" s="14">
        <f>DATE(CalYear,4,1)-WEEKDAY(DATE(CalYear,4,1),WeekType)+1+21</f>
        <v>46496</v>
      </c>
      <c r="AA9" s="14">
        <f>DATE(CalYear,4,1)-WEEKDAY(DATE(CalYear,4,1),WeekType)+1+22</f>
        <v>46497</v>
      </c>
      <c r="AB9" s="14">
        <f>DATE(CalYear,4,1)-WEEKDAY(DATE(CalYear,4,1),WeekType)+1+23</f>
        <v>46498</v>
      </c>
      <c r="AC9" s="14">
        <f>DATE(CalYear,4,1)-WEEKDAY(DATE(CalYear,4,1),WeekType)+1+24</f>
        <v>46499</v>
      </c>
      <c r="AD9" s="14">
        <f>DATE(CalYear,4,1)-WEEKDAY(DATE(CalYear,4,1),WeekType)+1+25</f>
        <v>46500</v>
      </c>
      <c r="AE9" s="14">
        <f>DATE(CalYear,4,1)-WEEKDAY(DATE(CalYear,4,1),WeekType)+1+26</f>
        <v>46501</v>
      </c>
      <c r="AF9" s="14">
        <f>DATE(CalYear,4,1)-WEEKDAY(DATE(CalYear,4,1),WeekType)+1+27</f>
        <v>46502</v>
      </c>
      <c r="AP9">
        <f>IF(COUNTIF(HolShownDate,B9)&gt;0,1,0)</f>
        <v>1</v>
      </c>
      <c r="AQ9">
        <f>IF(COUNTIF(HolShownDate,C9)&gt;0,1,0)</f>
        <v>0</v>
      </c>
      <c r="AR9">
        <f>IF(COUNTIF(HolShownDate,D9)&gt;0,1,0)</f>
        <v>0</v>
      </c>
      <c r="AS9">
        <f>IF(COUNTIF(HolShownDate,E9)&gt;0,1,0)</f>
        <v>0</v>
      </c>
      <c r="AT9">
        <f>IF(COUNTIF(HolShownDate,F9)&gt;0,1,0)</f>
        <v>0</v>
      </c>
      <c r="AU9">
        <f>IF(COUNTIF(HolShownDate,G9)&gt;0,1,0)</f>
        <v>0</v>
      </c>
      <c r="AV9">
        <f>IF(COUNTIF(HolShownDate,H9)&gt;0,1,0)</f>
        <v>0</v>
      </c>
      <c r="AX9">
        <f>IF(COUNTIF(HolShownDate,J9)&gt;0,1,0)</f>
        <v>0</v>
      </c>
      <c r="AY9">
        <f>IF(COUNTIF(HolShownDate,K9)&gt;0,1,0)</f>
        <v>0</v>
      </c>
      <c r="AZ9">
        <f>IF(COUNTIF(HolShownDate,L9)&gt;0,1,0)</f>
        <v>0</v>
      </c>
      <c r="BA9">
        <f>IF(COUNTIF(HolShownDate,M9)&gt;0,1,0)</f>
        <v>0</v>
      </c>
      <c r="BB9">
        <f>IF(COUNTIF(HolShownDate,N9)&gt;0,1,0)</f>
        <v>0</v>
      </c>
      <c r="BC9">
        <f>IF(COUNTIF(HolShownDate,O9)&gt;0,1,0)</f>
        <v>0</v>
      </c>
      <c r="BD9">
        <f>IF(COUNTIF(HolShownDate,P9)&gt;0,1,0)</f>
        <v>0</v>
      </c>
      <c r="BF9">
        <f>IF(COUNTIF(HolShownDate,R9)&gt;0,1,0)</f>
        <v>0</v>
      </c>
      <c r="BG9">
        <f>IF(COUNTIF(HolShownDate,S9)&gt;0,1,0)</f>
        <v>0</v>
      </c>
      <c r="BH9">
        <f>IF(COUNTIF(HolShownDate,T9)&gt;0,1,0)</f>
        <v>0</v>
      </c>
      <c r="BI9">
        <f>IF(COUNTIF(HolShownDate,U9)&gt;0,1,0)</f>
        <v>0</v>
      </c>
      <c r="BJ9">
        <f>IF(COUNTIF(HolShownDate,V9)&gt;0,1,0)</f>
        <v>0</v>
      </c>
      <c r="BK9">
        <f>IF(COUNTIF(HolShownDate,W9)&gt;0,1,0)</f>
        <v>0</v>
      </c>
      <c r="BL9">
        <f>IF(COUNTIF(HolShownDate,X9)&gt;0,1,0)</f>
        <v>0</v>
      </c>
      <c r="BN9">
        <f>IF(COUNTIF(HolShownDate,Z9)&gt;0,1,0)</f>
        <v>0</v>
      </c>
      <c r="BO9">
        <f>IF(COUNTIF(HolShownDate,AA9)&gt;0,1,0)</f>
        <v>0</v>
      </c>
      <c r="BP9">
        <f>IF(COUNTIF(HolShownDate,AB9)&gt;0,1,0)</f>
        <v>0</v>
      </c>
      <c r="BQ9">
        <f>IF(COUNTIF(HolShownDate,AC9)&gt;0,1,0)</f>
        <v>0</v>
      </c>
      <c r="BR9">
        <f>IF(COUNTIF(HolShownDate,AD9)&gt;0,1,0)</f>
        <v>0</v>
      </c>
      <c r="BS9">
        <f>IF(COUNTIF(HolShownDate,AE9)&gt;0,1,0)</f>
        <v>0</v>
      </c>
      <c r="BT9">
        <f>IF(COUNTIF(HolShownDate,AF9)&gt;0,1,0)</f>
        <v>0</v>
      </c>
    </row>
    <row r="10" spans="2:72" x14ac:dyDescent="0.25">
      <c r="B10" s="14">
        <f>DATE(CalYear,1,1)-WEEKDAY(DATE(CalYear,1,1),WeekType)+1+28</f>
        <v>46412</v>
      </c>
      <c r="C10" s="14">
        <f>DATE(CalYear,1,1)-WEEKDAY(DATE(CalYear,1,1),WeekType)+1+29</f>
        <v>46413</v>
      </c>
      <c r="D10" s="14">
        <f>DATE(CalYear,1,1)-WEEKDAY(DATE(CalYear,1,1),WeekType)+1+30</f>
        <v>46414</v>
      </c>
      <c r="E10" s="14">
        <f>DATE(CalYear,1,1)-WEEKDAY(DATE(CalYear,1,1),WeekType)+1+31</f>
        <v>46415</v>
      </c>
      <c r="F10" s="14">
        <f>DATE(CalYear,1,1)-WEEKDAY(DATE(CalYear,1,1),WeekType)+1+32</f>
        <v>46416</v>
      </c>
      <c r="G10" s="14">
        <f>DATE(CalYear,1,1)-WEEKDAY(DATE(CalYear,1,1),WeekType)+1+33</f>
        <v>46417</v>
      </c>
      <c r="H10" s="14">
        <f>DATE(CalYear,1,1)-WEEKDAY(DATE(CalYear,1,1),WeekType)+1+34</f>
        <v>46418</v>
      </c>
      <c r="J10" s="14">
        <f>DATE(CalYear,2,1)-WEEKDAY(DATE(CalYear,2,1),WeekType)+1+28</f>
        <v>46447</v>
      </c>
      <c r="K10" s="14">
        <f>DATE(CalYear,2,1)-WEEKDAY(DATE(CalYear,2,1),WeekType)+1+29</f>
        <v>46448</v>
      </c>
      <c r="L10" s="14">
        <f>DATE(CalYear,2,1)-WEEKDAY(DATE(CalYear,2,1),WeekType)+1+30</f>
        <v>46449</v>
      </c>
      <c r="M10" s="14">
        <f>DATE(CalYear,2,1)-WEEKDAY(DATE(CalYear,2,1),WeekType)+1+31</f>
        <v>46450</v>
      </c>
      <c r="N10" s="14">
        <f>DATE(CalYear,2,1)-WEEKDAY(DATE(CalYear,2,1),WeekType)+1+32</f>
        <v>46451</v>
      </c>
      <c r="O10" s="14">
        <f>DATE(CalYear,2,1)-WEEKDAY(DATE(CalYear,2,1),WeekType)+1+33</f>
        <v>46452</v>
      </c>
      <c r="P10" s="14">
        <f>DATE(CalYear,2,1)-WEEKDAY(DATE(CalYear,2,1),WeekType)+1+34</f>
        <v>46453</v>
      </c>
      <c r="R10" s="14">
        <f>DATE(CalYear,3,1)-WEEKDAY(DATE(CalYear,3,1),WeekType)+1+28</f>
        <v>46475</v>
      </c>
      <c r="S10" s="14">
        <f>DATE(CalYear,3,1)-WEEKDAY(DATE(CalYear,3,1),WeekType)+1+29</f>
        <v>46476</v>
      </c>
      <c r="T10" s="14">
        <f>DATE(CalYear,3,1)-WEEKDAY(DATE(CalYear,3,1),WeekType)+1+30</f>
        <v>46477</v>
      </c>
      <c r="U10" s="14">
        <f>DATE(CalYear,3,1)-WEEKDAY(DATE(CalYear,3,1),WeekType)+1+31</f>
        <v>46478</v>
      </c>
      <c r="V10" s="14">
        <f>DATE(CalYear,3,1)-WEEKDAY(DATE(CalYear,3,1),WeekType)+1+32</f>
        <v>46479</v>
      </c>
      <c r="W10" s="14">
        <f>DATE(CalYear,3,1)-WEEKDAY(DATE(CalYear,3,1),WeekType)+1+33</f>
        <v>46480</v>
      </c>
      <c r="X10" s="14">
        <f>DATE(CalYear,3,1)-WEEKDAY(DATE(CalYear,3,1),WeekType)+1+34</f>
        <v>46481</v>
      </c>
      <c r="Z10" s="14">
        <f>DATE(CalYear,4,1)-WEEKDAY(DATE(CalYear,4,1),WeekType)+1+28</f>
        <v>46503</v>
      </c>
      <c r="AA10" s="14">
        <f>DATE(CalYear,4,1)-WEEKDAY(DATE(CalYear,4,1),WeekType)+1+29</f>
        <v>46504</v>
      </c>
      <c r="AB10" s="14">
        <f>DATE(CalYear,4,1)-WEEKDAY(DATE(CalYear,4,1),WeekType)+1+30</f>
        <v>46505</v>
      </c>
      <c r="AC10" s="14">
        <f>DATE(CalYear,4,1)-WEEKDAY(DATE(CalYear,4,1),WeekType)+1+31</f>
        <v>46506</v>
      </c>
      <c r="AD10" s="14">
        <f>DATE(CalYear,4,1)-WEEKDAY(DATE(CalYear,4,1),WeekType)+1+32</f>
        <v>46507</v>
      </c>
      <c r="AE10" s="14">
        <f>DATE(CalYear,4,1)-WEEKDAY(DATE(CalYear,4,1),WeekType)+1+33</f>
        <v>46508</v>
      </c>
      <c r="AF10" s="14">
        <f>DATE(CalYear,4,1)-WEEKDAY(DATE(CalYear,4,1),WeekType)+1+34</f>
        <v>46509</v>
      </c>
      <c r="AP10">
        <f>IF(COUNTIF(HolShownDate,B10)&gt;0,1,0)</f>
        <v>0</v>
      </c>
      <c r="AQ10">
        <f>IF(COUNTIF(HolShownDate,C10)&gt;0,1,0)</f>
        <v>0</v>
      </c>
      <c r="AR10">
        <f>IF(COUNTIF(HolShownDate,D10)&gt;0,1,0)</f>
        <v>0</v>
      </c>
      <c r="AS10">
        <f>IF(COUNTIF(HolShownDate,E10)&gt;0,1,0)</f>
        <v>0</v>
      </c>
      <c r="AT10">
        <f>IF(COUNTIF(HolShownDate,F10)&gt;0,1,0)</f>
        <v>0</v>
      </c>
      <c r="AU10">
        <f>IF(COUNTIF(HolShownDate,G10)&gt;0,1,0)</f>
        <v>0</v>
      </c>
      <c r="AV10">
        <f>IF(COUNTIF(HolShownDate,H10)&gt;0,1,0)</f>
        <v>0</v>
      </c>
      <c r="AX10">
        <f>IF(COUNTIF(HolShownDate,J10)&gt;0,1,0)</f>
        <v>0</v>
      </c>
      <c r="AY10">
        <f>IF(COUNTIF(HolShownDate,K10)&gt;0,1,0)</f>
        <v>0</v>
      </c>
      <c r="AZ10">
        <f>IF(COUNTIF(HolShownDate,L10)&gt;0,1,0)</f>
        <v>0</v>
      </c>
      <c r="BA10">
        <f>IF(COUNTIF(HolShownDate,M10)&gt;0,1,0)</f>
        <v>0</v>
      </c>
      <c r="BB10">
        <f>IF(COUNTIF(HolShownDate,N10)&gt;0,1,0)</f>
        <v>0</v>
      </c>
      <c r="BC10">
        <f>IF(COUNTIF(HolShownDate,O10)&gt;0,1,0)</f>
        <v>0</v>
      </c>
      <c r="BD10">
        <f>IF(COUNTIF(HolShownDate,P10)&gt;0,1,0)</f>
        <v>0</v>
      </c>
      <c r="BF10">
        <f>IF(COUNTIF(HolShownDate,R10)&gt;0,1,0)</f>
        <v>0</v>
      </c>
      <c r="BG10">
        <f>IF(COUNTIF(HolShownDate,S10)&gt;0,1,0)</f>
        <v>0</v>
      </c>
      <c r="BH10">
        <f>IF(COUNTIF(HolShownDate,T10)&gt;0,1,0)</f>
        <v>0</v>
      </c>
      <c r="BI10">
        <f>IF(COUNTIF(HolShownDate,U10)&gt;0,1,0)</f>
        <v>0</v>
      </c>
      <c r="BJ10">
        <f>IF(COUNTIF(HolShownDate,V10)&gt;0,1,0)</f>
        <v>0</v>
      </c>
      <c r="BK10">
        <f>IF(COUNTIF(HolShownDate,W10)&gt;0,1,0)</f>
        <v>0</v>
      </c>
      <c r="BL10">
        <f>IF(COUNTIF(HolShownDate,X10)&gt;0,1,0)</f>
        <v>0</v>
      </c>
      <c r="BN10">
        <f>IF(COUNTIF(HolShownDate,Z10)&gt;0,1,0)</f>
        <v>0</v>
      </c>
      <c r="BO10">
        <f>IF(COUNTIF(HolShownDate,AA10)&gt;0,1,0)</f>
        <v>0</v>
      </c>
      <c r="BP10">
        <f>IF(COUNTIF(HolShownDate,AB10)&gt;0,1,0)</f>
        <v>0</v>
      </c>
      <c r="BQ10">
        <f>IF(COUNTIF(HolShownDate,AC10)&gt;0,1,0)</f>
        <v>0</v>
      </c>
      <c r="BR10">
        <f>IF(COUNTIF(HolShownDate,AD10)&gt;0,1,0)</f>
        <v>0</v>
      </c>
      <c r="BS10">
        <f>IF(COUNTIF(HolShownDate,AE10)&gt;0,1,0)</f>
        <v>0</v>
      </c>
      <c r="BT10">
        <f>IF(COUNTIF(HolShownDate,AF10)&gt;0,1,0)</f>
        <v>0</v>
      </c>
    </row>
    <row r="11" spans="2:72" x14ac:dyDescent="0.25">
      <c r="B11" s="14">
        <f>DATE(CalYear,1,1)-WEEKDAY(DATE(CalYear,1,1),WeekType)+1+35</f>
        <v>46419</v>
      </c>
      <c r="C11" s="14">
        <f>DATE(CalYear,1,1)-WEEKDAY(DATE(CalYear,1,1),WeekType)+1+36</f>
        <v>46420</v>
      </c>
      <c r="D11" s="14">
        <f>DATE(CalYear,1,1)-WEEKDAY(DATE(CalYear,1,1),WeekType)+1+37</f>
        <v>46421</v>
      </c>
      <c r="E11" s="14">
        <f>DATE(CalYear,1,1)-WEEKDAY(DATE(CalYear,1,1),WeekType)+1+38</f>
        <v>46422</v>
      </c>
      <c r="F11" s="14">
        <f>DATE(CalYear,1,1)-WEEKDAY(DATE(CalYear,1,1),WeekType)+1+39</f>
        <v>46423</v>
      </c>
      <c r="G11" s="14">
        <f>DATE(CalYear,1,1)-WEEKDAY(DATE(CalYear,1,1),WeekType)+1+40</f>
        <v>46424</v>
      </c>
      <c r="H11" s="14">
        <f>DATE(CalYear,1,1)-WEEKDAY(DATE(CalYear,1,1),WeekType)+1+41</f>
        <v>46425</v>
      </c>
      <c r="J11" s="14">
        <f>DATE(CalYear,2,1)-WEEKDAY(DATE(CalYear,2,1),WeekType)+1+35</f>
        <v>46454</v>
      </c>
      <c r="K11" s="14">
        <f>DATE(CalYear,2,1)-WEEKDAY(DATE(CalYear,2,1),WeekType)+1+36</f>
        <v>46455</v>
      </c>
      <c r="L11" s="14">
        <f>DATE(CalYear,2,1)-WEEKDAY(DATE(CalYear,2,1),WeekType)+1+37</f>
        <v>46456</v>
      </c>
      <c r="M11" s="14">
        <f>DATE(CalYear,2,1)-WEEKDAY(DATE(CalYear,2,1),WeekType)+1+38</f>
        <v>46457</v>
      </c>
      <c r="N11" s="14">
        <f>DATE(CalYear,2,1)-WEEKDAY(DATE(CalYear,2,1),WeekType)+1+39</f>
        <v>46458</v>
      </c>
      <c r="O11" s="14">
        <f>DATE(CalYear,2,1)-WEEKDAY(DATE(CalYear,2,1),WeekType)+1+40</f>
        <v>46459</v>
      </c>
      <c r="P11" s="14">
        <f>DATE(CalYear,2,1)-WEEKDAY(DATE(CalYear,2,1),WeekType)+1+41</f>
        <v>46460</v>
      </c>
      <c r="R11" s="14">
        <f>DATE(CalYear,3,1)-WEEKDAY(DATE(CalYear,3,1),WeekType)+1+35</f>
        <v>46482</v>
      </c>
      <c r="S11" s="14">
        <f>DATE(CalYear,3,1)-WEEKDAY(DATE(CalYear,3,1),WeekType)+1+36</f>
        <v>46483</v>
      </c>
      <c r="T11" s="14">
        <f>DATE(CalYear,3,1)-WEEKDAY(DATE(CalYear,3,1),WeekType)+1+37</f>
        <v>46484</v>
      </c>
      <c r="U11" s="14">
        <f>DATE(CalYear,3,1)-WEEKDAY(DATE(CalYear,3,1),WeekType)+1+38</f>
        <v>46485</v>
      </c>
      <c r="V11" s="14">
        <f>DATE(CalYear,3,1)-WEEKDAY(DATE(CalYear,3,1),WeekType)+1+39</f>
        <v>46486</v>
      </c>
      <c r="W11" s="14">
        <f>DATE(CalYear,3,1)-WEEKDAY(DATE(CalYear,3,1),WeekType)+1+40</f>
        <v>46487</v>
      </c>
      <c r="X11" s="14">
        <f>DATE(CalYear,3,1)-WEEKDAY(DATE(CalYear,3,1),WeekType)+1+41</f>
        <v>46488</v>
      </c>
      <c r="Z11" s="14">
        <f>DATE(CalYear,4,1)-WEEKDAY(DATE(CalYear,4,1),WeekType)+1+35</f>
        <v>46510</v>
      </c>
      <c r="AA11" s="14">
        <f>DATE(CalYear,4,1)-WEEKDAY(DATE(CalYear,4,1),WeekType)+1+36</f>
        <v>46511</v>
      </c>
      <c r="AB11" s="14">
        <f>DATE(CalYear,4,1)-WEEKDAY(DATE(CalYear,4,1),WeekType)+1+37</f>
        <v>46512</v>
      </c>
      <c r="AC11" s="14">
        <f>DATE(CalYear,4,1)-WEEKDAY(DATE(CalYear,4,1),WeekType)+1+38</f>
        <v>46513</v>
      </c>
      <c r="AD11" s="14">
        <f>DATE(CalYear,4,1)-WEEKDAY(DATE(CalYear,4,1),WeekType)+1+39</f>
        <v>46514</v>
      </c>
      <c r="AE11" s="14">
        <f>DATE(CalYear,4,1)-WEEKDAY(DATE(CalYear,4,1),WeekType)+1+40</f>
        <v>46515</v>
      </c>
      <c r="AF11" s="14">
        <f>DATE(CalYear,4,1)-WEEKDAY(DATE(CalYear,4,1),WeekType)+1+41</f>
        <v>46516</v>
      </c>
      <c r="AP11">
        <f>IF(COUNTIF(HolShownDate,B11)&gt;0,1,0)</f>
        <v>0</v>
      </c>
      <c r="AQ11">
        <f>IF(COUNTIF(HolShownDate,C11)&gt;0,1,0)</f>
        <v>0</v>
      </c>
      <c r="AR11">
        <f>IF(COUNTIF(HolShownDate,D11)&gt;0,1,0)</f>
        <v>0</v>
      </c>
      <c r="AS11">
        <f>IF(COUNTIF(HolShownDate,E11)&gt;0,1,0)</f>
        <v>0</v>
      </c>
      <c r="AT11">
        <f>IF(COUNTIF(HolShownDate,F11)&gt;0,1,0)</f>
        <v>0</v>
      </c>
      <c r="AU11">
        <f>IF(COUNTIF(HolShownDate,G11)&gt;0,1,0)</f>
        <v>0</v>
      </c>
      <c r="AV11">
        <f>IF(COUNTIF(HolShownDate,H11)&gt;0,1,0)</f>
        <v>0</v>
      </c>
      <c r="AX11">
        <f>IF(COUNTIF(HolShownDate,J11)&gt;0,1,0)</f>
        <v>0</v>
      </c>
      <c r="AY11">
        <f>IF(COUNTIF(HolShownDate,K11)&gt;0,1,0)</f>
        <v>0</v>
      </c>
      <c r="AZ11">
        <f>IF(COUNTIF(HolShownDate,L11)&gt;0,1,0)</f>
        <v>0</v>
      </c>
      <c r="BA11">
        <f>IF(COUNTIF(HolShownDate,M11)&gt;0,1,0)</f>
        <v>0</v>
      </c>
      <c r="BB11">
        <f>IF(COUNTIF(HolShownDate,N11)&gt;0,1,0)</f>
        <v>0</v>
      </c>
      <c r="BC11">
        <f>IF(COUNTIF(HolShownDate,O11)&gt;0,1,0)</f>
        <v>0</v>
      </c>
      <c r="BD11">
        <f>IF(COUNTIF(HolShownDate,P11)&gt;0,1,0)</f>
        <v>0</v>
      </c>
      <c r="BF11">
        <f>IF(COUNTIF(HolShownDate,R11)&gt;0,1,0)</f>
        <v>0</v>
      </c>
      <c r="BG11">
        <f>IF(COUNTIF(HolShownDate,S11)&gt;0,1,0)</f>
        <v>0</v>
      </c>
      <c r="BH11">
        <f>IF(COUNTIF(HolShownDate,T11)&gt;0,1,0)</f>
        <v>0</v>
      </c>
      <c r="BI11">
        <f>IF(COUNTIF(HolShownDate,U11)&gt;0,1,0)</f>
        <v>0</v>
      </c>
      <c r="BJ11">
        <f>IF(COUNTIF(HolShownDate,V11)&gt;0,1,0)</f>
        <v>0</v>
      </c>
      <c r="BK11">
        <f>IF(COUNTIF(HolShownDate,W11)&gt;0,1,0)</f>
        <v>0</v>
      </c>
      <c r="BL11">
        <f>IF(COUNTIF(HolShownDate,X11)&gt;0,1,0)</f>
        <v>0</v>
      </c>
      <c r="BN11">
        <f>IF(COUNTIF(HolShownDate,Z11)&gt;0,1,0)</f>
        <v>0</v>
      </c>
      <c r="BO11">
        <f>IF(COUNTIF(HolShownDate,AA11)&gt;0,1,0)</f>
        <v>0</v>
      </c>
      <c r="BP11">
        <f>IF(COUNTIF(HolShownDate,AB11)&gt;0,1,0)</f>
        <v>0</v>
      </c>
      <c r="BQ11">
        <f>IF(COUNTIF(HolShownDate,AC11)&gt;0,1,0)</f>
        <v>0</v>
      </c>
      <c r="BR11">
        <f>IF(COUNTIF(HolShownDate,AD11)&gt;0,1,0)</f>
        <v>0</v>
      </c>
      <c r="BS11">
        <f>IF(COUNTIF(HolShownDate,AE11)&gt;0,1,0)</f>
        <v>0</v>
      </c>
      <c r="BT11">
        <f>IF(COUNTIF(HolShownDate,AF11)&gt;0,1,0)</f>
        <v>0</v>
      </c>
    </row>
    <row r="14" spans="2:32" x14ac:dyDescent="0.25">
      <c r="B14" s="12" t="str">
        <f>INDEX(MonthNames,5)</f>
        <v>May</v>
      </c>
      <c r="C14" s="12"/>
      <c r="D14" s="12"/>
      <c r="E14" s="12"/>
      <c r="F14" s="12"/>
      <c r="G14" s="12"/>
      <c r="H14" s="12"/>
      <c r="J14" s="12" t="str">
        <f>INDEX(MonthNames,6)</f>
        <v>June</v>
      </c>
      <c r="K14" s="12"/>
      <c r="L14" s="12"/>
      <c r="M14" s="12"/>
      <c r="N14" s="12"/>
      <c r="O14" s="12"/>
      <c r="P14" s="12"/>
      <c r="R14" s="12" t="str">
        <f>INDEX(MonthNames,7)</f>
        <v>July</v>
      </c>
      <c r="S14" s="12"/>
      <c r="T14" s="12"/>
      <c r="U14" s="12"/>
      <c r="V14" s="12"/>
      <c r="W14" s="12"/>
      <c r="X14" s="12"/>
      <c r="Z14" s="12" t="str">
        <f>INDEX(MonthNames,8)</f>
        <v>August</v>
      </c>
      <c r="AA14" s="12"/>
      <c r="AB14" s="12"/>
      <c r="AC14" s="12"/>
      <c r="AD14" s="12"/>
      <c r="AE14" s="12"/>
      <c r="AF14" s="12"/>
    </row>
    <row r="15" spans="2:32" x14ac:dyDescent="0.25">
      <c r="B15" s="13" t="str">
        <f>INDEX(DayInitial,MOD(0+IF(WeekType=2,0,6),7)+1)</f>
        <v>M</v>
      </c>
      <c r="C15" s="13" t="str">
        <f>INDEX(DayInitial,MOD(1+IF(WeekType=2,0,6),7)+1)</f>
        <v>T</v>
      </c>
      <c r="D15" s="13" t="str">
        <f>INDEX(DayInitial,MOD(2+IF(WeekType=2,0,6),7)+1)</f>
        <v>W</v>
      </c>
      <c r="E15" s="13" t="str">
        <f>INDEX(DayInitial,MOD(3+IF(WeekType=2,0,6),7)+1)</f>
        <v>T</v>
      </c>
      <c r="F15" s="13" t="str">
        <f>INDEX(DayInitial,MOD(4+IF(WeekType=2,0,6),7)+1)</f>
        <v>F</v>
      </c>
      <c r="G15" s="13" t="str">
        <f>INDEX(DayInitial,MOD(5+IF(WeekType=2,0,6),7)+1)</f>
        <v>S</v>
      </c>
      <c r="H15" s="13" t="str">
        <f>INDEX(DayInitial,MOD(6+IF(WeekType=2,0,6),7)+1)</f>
        <v>S</v>
      </c>
      <c r="J15" s="13" t="str">
        <f>INDEX(DayInitial,MOD(0+IF(WeekType=2,0,6),7)+1)</f>
        <v>M</v>
      </c>
      <c r="K15" s="13" t="str">
        <f>INDEX(DayInitial,MOD(1+IF(WeekType=2,0,6),7)+1)</f>
        <v>T</v>
      </c>
      <c r="L15" s="13" t="str">
        <f>INDEX(DayInitial,MOD(2+IF(WeekType=2,0,6),7)+1)</f>
        <v>W</v>
      </c>
      <c r="M15" s="13" t="str">
        <f>INDEX(DayInitial,MOD(3+IF(WeekType=2,0,6),7)+1)</f>
        <v>T</v>
      </c>
      <c r="N15" s="13" t="str">
        <f>INDEX(DayInitial,MOD(4+IF(WeekType=2,0,6),7)+1)</f>
        <v>F</v>
      </c>
      <c r="O15" s="13" t="str">
        <f>INDEX(DayInitial,MOD(5+IF(WeekType=2,0,6),7)+1)</f>
        <v>S</v>
      </c>
      <c r="P15" s="13" t="str">
        <f>INDEX(DayInitial,MOD(6+IF(WeekType=2,0,6),7)+1)</f>
        <v>S</v>
      </c>
      <c r="R15" s="13" t="str">
        <f>INDEX(DayInitial,MOD(0+IF(WeekType=2,0,6),7)+1)</f>
        <v>M</v>
      </c>
      <c r="S15" s="13" t="str">
        <f>INDEX(DayInitial,MOD(1+IF(WeekType=2,0,6),7)+1)</f>
        <v>T</v>
      </c>
      <c r="T15" s="13" t="str">
        <f>INDEX(DayInitial,MOD(2+IF(WeekType=2,0,6),7)+1)</f>
        <v>W</v>
      </c>
      <c r="U15" s="13" t="str">
        <f>INDEX(DayInitial,MOD(3+IF(WeekType=2,0,6),7)+1)</f>
        <v>T</v>
      </c>
      <c r="V15" s="13" t="str">
        <f>INDEX(DayInitial,MOD(4+IF(WeekType=2,0,6),7)+1)</f>
        <v>F</v>
      </c>
      <c r="W15" s="13" t="str">
        <f>INDEX(DayInitial,MOD(5+IF(WeekType=2,0,6),7)+1)</f>
        <v>S</v>
      </c>
      <c r="X15" s="13" t="str">
        <f>INDEX(DayInitial,MOD(6+IF(WeekType=2,0,6),7)+1)</f>
        <v>S</v>
      </c>
      <c r="Z15" s="13" t="str">
        <f>INDEX(DayInitial,MOD(0+IF(WeekType=2,0,6),7)+1)</f>
        <v>M</v>
      </c>
      <c r="AA15" s="13" t="str">
        <f>INDEX(DayInitial,MOD(1+IF(WeekType=2,0,6),7)+1)</f>
        <v>T</v>
      </c>
      <c r="AB15" s="13" t="str">
        <f>INDEX(DayInitial,MOD(2+IF(WeekType=2,0,6),7)+1)</f>
        <v>W</v>
      </c>
      <c r="AC15" s="13" t="str">
        <f>INDEX(DayInitial,MOD(3+IF(WeekType=2,0,6),7)+1)</f>
        <v>T</v>
      </c>
      <c r="AD15" s="13" t="str">
        <f>INDEX(DayInitial,MOD(4+IF(WeekType=2,0,6),7)+1)</f>
        <v>F</v>
      </c>
      <c r="AE15" s="13" t="str">
        <f>INDEX(DayInitial,MOD(5+IF(WeekType=2,0,6),7)+1)</f>
        <v>S</v>
      </c>
      <c r="AF15" s="13" t="str">
        <f>INDEX(DayInitial,MOD(6+IF(WeekType=2,0,6),7)+1)</f>
        <v>S</v>
      </c>
    </row>
    <row r="16" spans="2:72" x14ac:dyDescent="0.25">
      <c r="B16" s="14">
        <f>DATE(CalYear,5,1)-WEEKDAY(DATE(CalYear,5,1),WeekType)+1+0</f>
        <v>46503</v>
      </c>
      <c r="C16" s="14">
        <f>DATE(CalYear,5,1)-WEEKDAY(DATE(CalYear,5,1),WeekType)+1+1</f>
        <v>46504</v>
      </c>
      <c r="D16" s="14">
        <f>DATE(CalYear,5,1)-WEEKDAY(DATE(CalYear,5,1),WeekType)+1+2</f>
        <v>46505</v>
      </c>
      <c r="E16" s="14">
        <f>DATE(CalYear,5,1)-WEEKDAY(DATE(CalYear,5,1),WeekType)+1+3</f>
        <v>46506</v>
      </c>
      <c r="F16" s="14">
        <f>DATE(CalYear,5,1)-WEEKDAY(DATE(CalYear,5,1),WeekType)+1+4</f>
        <v>46507</v>
      </c>
      <c r="G16" s="14">
        <f>DATE(CalYear,5,1)-WEEKDAY(DATE(CalYear,5,1),WeekType)+1+5</f>
        <v>46508</v>
      </c>
      <c r="H16" s="14">
        <f>DATE(CalYear,5,1)-WEEKDAY(DATE(CalYear,5,1),WeekType)+1+6</f>
        <v>46509</v>
      </c>
      <c r="J16" s="14">
        <f>DATE(CalYear,6,1)-WEEKDAY(DATE(CalYear,6,1),WeekType)+1+0</f>
        <v>46538</v>
      </c>
      <c r="K16" s="14">
        <f>DATE(CalYear,6,1)-WEEKDAY(DATE(CalYear,6,1),WeekType)+1+1</f>
        <v>46539</v>
      </c>
      <c r="L16" s="14">
        <f>DATE(CalYear,6,1)-WEEKDAY(DATE(CalYear,6,1),WeekType)+1+2</f>
        <v>46540</v>
      </c>
      <c r="M16" s="14">
        <f>DATE(CalYear,6,1)-WEEKDAY(DATE(CalYear,6,1),WeekType)+1+3</f>
        <v>46541</v>
      </c>
      <c r="N16" s="14">
        <f>DATE(CalYear,6,1)-WEEKDAY(DATE(CalYear,6,1),WeekType)+1+4</f>
        <v>46542</v>
      </c>
      <c r="O16" s="14">
        <f>DATE(CalYear,6,1)-WEEKDAY(DATE(CalYear,6,1),WeekType)+1+5</f>
        <v>46543</v>
      </c>
      <c r="P16" s="14">
        <f>DATE(CalYear,6,1)-WEEKDAY(DATE(CalYear,6,1),WeekType)+1+6</f>
        <v>46544</v>
      </c>
      <c r="R16" s="14">
        <f>DATE(CalYear,7,1)-WEEKDAY(DATE(CalYear,7,1),WeekType)+1+0</f>
        <v>46566</v>
      </c>
      <c r="S16" s="14">
        <f>DATE(CalYear,7,1)-WEEKDAY(DATE(CalYear,7,1),WeekType)+1+1</f>
        <v>46567</v>
      </c>
      <c r="T16" s="14">
        <f>DATE(CalYear,7,1)-WEEKDAY(DATE(CalYear,7,1),WeekType)+1+2</f>
        <v>46568</v>
      </c>
      <c r="U16" s="14">
        <f>DATE(CalYear,7,1)-WEEKDAY(DATE(CalYear,7,1),WeekType)+1+3</f>
        <v>46569</v>
      </c>
      <c r="V16" s="14">
        <f>DATE(CalYear,7,1)-WEEKDAY(DATE(CalYear,7,1),WeekType)+1+4</f>
        <v>46570</v>
      </c>
      <c r="W16" s="14">
        <f>DATE(CalYear,7,1)-WEEKDAY(DATE(CalYear,7,1),WeekType)+1+5</f>
        <v>46571</v>
      </c>
      <c r="X16" s="14">
        <f>DATE(CalYear,7,1)-WEEKDAY(DATE(CalYear,7,1),WeekType)+1+6</f>
        <v>46572</v>
      </c>
      <c r="Z16" s="14">
        <f>DATE(CalYear,8,1)-WEEKDAY(DATE(CalYear,8,1),WeekType)+1+0</f>
        <v>46594</v>
      </c>
      <c r="AA16" s="14">
        <f>DATE(CalYear,8,1)-WEEKDAY(DATE(CalYear,8,1),WeekType)+1+1</f>
        <v>46595</v>
      </c>
      <c r="AB16" s="14">
        <f>DATE(CalYear,8,1)-WEEKDAY(DATE(CalYear,8,1),WeekType)+1+2</f>
        <v>46596</v>
      </c>
      <c r="AC16" s="14">
        <f>DATE(CalYear,8,1)-WEEKDAY(DATE(CalYear,8,1),WeekType)+1+3</f>
        <v>46597</v>
      </c>
      <c r="AD16" s="14">
        <f>DATE(CalYear,8,1)-WEEKDAY(DATE(CalYear,8,1),WeekType)+1+4</f>
        <v>46598</v>
      </c>
      <c r="AE16" s="14">
        <f>DATE(CalYear,8,1)-WEEKDAY(DATE(CalYear,8,1),WeekType)+1+5</f>
        <v>46599</v>
      </c>
      <c r="AF16" s="14">
        <f>DATE(CalYear,8,1)-WEEKDAY(DATE(CalYear,8,1),WeekType)+1+6</f>
        <v>46600</v>
      </c>
      <c r="AP16">
        <f>IF(COUNTIF(HolShownDate,B16)&gt;0,1,0)</f>
        <v>0</v>
      </c>
      <c r="AQ16">
        <f>IF(COUNTIF(HolShownDate,C16)&gt;0,1,0)</f>
        <v>0</v>
      </c>
      <c r="AR16">
        <f>IF(COUNTIF(HolShownDate,D16)&gt;0,1,0)</f>
        <v>0</v>
      </c>
      <c r="AS16">
        <f>IF(COUNTIF(HolShownDate,E16)&gt;0,1,0)</f>
        <v>0</v>
      </c>
      <c r="AT16">
        <f>IF(COUNTIF(HolShownDate,F16)&gt;0,1,0)</f>
        <v>0</v>
      </c>
      <c r="AU16">
        <f>IF(COUNTIF(HolShownDate,G16)&gt;0,1,0)</f>
        <v>0</v>
      </c>
      <c r="AV16">
        <f>IF(COUNTIF(HolShownDate,H16)&gt;0,1,0)</f>
        <v>0</v>
      </c>
      <c r="AX16">
        <f>IF(COUNTIF(HolShownDate,J16)&gt;0,1,0)</f>
        <v>1</v>
      </c>
      <c r="AY16">
        <f>IF(COUNTIF(HolShownDate,K16)&gt;0,1,0)</f>
        <v>0</v>
      </c>
      <c r="AZ16">
        <f>IF(COUNTIF(HolShownDate,L16)&gt;0,1,0)</f>
        <v>0</v>
      </c>
      <c r="BA16">
        <f>IF(COUNTIF(HolShownDate,M16)&gt;0,1,0)</f>
        <v>0</v>
      </c>
      <c r="BB16">
        <f>IF(COUNTIF(HolShownDate,N16)&gt;0,1,0)</f>
        <v>0</v>
      </c>
      <c r="BC16">
        <f>IF(COUNTIF(HolShownDate,O16)&gt;0,1,0)</f>
        <v>0</v>
      </c>
      <c r="BD16">
        <f>IF(COUNTIF(HolShownDate,P16)&gt;0,1,0)</f>
        <v>0</v>
      </c>
      <c r="BF16">
        <f>IF(COUNTIF(HolShownDate,R16)&gt;0,1,0)</f>
        <v>0</v>
      </c>
      <c r="BG16">
        <f>IF(COUNTIF(HolShownDate,S16)&gt;0,1,0)</f>
        <v>0</v>
      </c>
      <c r="BH16">
        <f>IF(COUNTIF(HolShownDate,T16)&gt;0,1,0)</f>
        <v>0</v>
      </c>
      <c r="BI16">
        <f>IF(COUNTIF(HolShownDate,U16)&gt;0,1,0)</f>
        <v>0</v>
      </c>
      <c r="BJ16">
        <f>IF(COUNTIF(HolShownDate,V16)&gt;0,1,0)</f>
        <v>0</v>
      </c>
      <c r="BK16">
        <f>IF(COUNTIF(HolShownDate,W16)&gt;0,1,0)</f>
        <v>0</v>
      </c>
      <c r="BL16">
        <f>IF(COUNTIF(HolShownDate,X16)&gt;0,1,0)</f>
        <v>1</v>
      </c>
      <c r="BN16">
        <f>IF(COUNTIF(HolShownDate,Z16)&gt;0,1,0)</f>
        <v>0</v>
      </c>
      <c r="BO16">
        <f>IF(COUNTIF(HolShownDate,AA16)&gt;0,1,0)</f>
        <v>0</v>
      </c>
      <c r="BP16">
        <f>IF(COUNTIF(HolShownDate,AB16)&gt;0,1,0)</f>
        <v>0</v>
      </c>
      <c r="BQ16">
        <f>IF(COUNTIF(HolShownDate,AC16)&gt;0,1,0)</f>
        <v>0</v>
      </c>
      <c r="BR16">
        <f>IF(COUNTIF(HolShownDate,AD16)&gt;0,1,0)</f>
        <v>0</v>
      </c>
      <c r="BS16">
        <f>IF(COUNTIF(HolShownDate,AE16)&gt;0,1,0)</f>
        <v>0</v>
      </c>
      <c r="BT16">
        <f>IF(COUNTIF(HolShownDate,AF16)&gt;0,1,0)</f>
        <v>0</v>
      </c>
    </row>
    <row r="17" spans="2:72" x14ac:dyDescent="0.25">
      <c r="B17" s="14">
        <f>DATE(CalYear,5,1)-WEEKDAY(DATE(CalYear,5,1),WeekType)+1+7</f>
        <v>46510</v>
      </c>
      <c r="C17" s="14">
        <f>DATE(CalYear,5,1)-WEEKDAY(DATE(CalYear,5,1),WeekType)+1+8</f>
        <v>46511</v>
      </c>
      <c r="D17" s="14">
        <f>DATE(CalYear,5,1)-WEEKDAY(DATE(CalYear,5,1),WeekType)+1+9</f>
        <v>46512</v>
      </c>
      <c r="E17" s="14">
        <f>DATE(CalYear,5,1)-WEEKDAY(DATE(CalYear,5,1),WeekType)+1+10</f>
        <v>46513</v>
      </c>
      <c r="F17" s="14">
        <f>DATE(CalYear,5,1)-WEEKDAY(DATE(CalYear,5,1),WeekType)+1+11</f>
        <v>46514</v>
      </c>
      <c r="G17" s="14">
        <f>DATE(CalYear,5,1)-WEEKDAY(DATE(CalYear,5,1),WeekType)+1+12</f>
        <v>46515</v>
      </c>
      <c r="H17" s="14">
        <f>DATE(CalYear,5,1)-WEEKDAY(DATE(CalYear,5,1),WeekType)+1+13</f>
        <v>46516</v>
      </c>
      <c r="J17" s="14">
        <f>DATE(CalYear,6,1)-WEEKDAY(DATE(CalYear,6,1),WeekType)+1+7</f>
        <v>46545</v>
      </c>
      <c r="K17" s="14">
        <f>DATE(CalYear,6,1)-WEEKDAY(DATE(CalYear,6,1),WeekType)+1+8</f>
        <v>46546</v>
      </c>
      <c r="L17" s="14">
        <f>DATE(CalYear,6,1)-WEEKDAY(DATE(CalYear,6,1),WeekType)+1+9</f>
        <v>46547</v>
      </c>
      <c r="M17" s="14">
        <f>DATE(CalYear,6,1)-WEEKDAY(DATE(CalYear,6,1),WeekType)+1+10</f>
        <v>46548</v>
      </c>
      <c r="N17" s="14">
        <f>DATE(CalYear,6,1)-WEEKDAY(DATE(CalYear,6,1),WeekType)+1+11</f>
        <v>46549</v>
      </c>
      <c r="O17" s="14">
        <f>DATE(CalYear,6,1)-WEEKDAY(DATE(CalYear,6,1),WeekType)+1+12</f>
        <v>46550</v>
      </c>
      <c r="P17" s="14">
        <f>DATE(CalYear,6,1)-WEEKDAY(DATE(CalYear,6,1),WeekType)+1+13</f>
        <v>46551</v>
      </c>
      <c r="R17" s="14">
        <f>DATE(CalYear,7,1)-WEEKDAY(DATE(CalYear,7,1),WeekType)+1+7</f>
        <v>46573</v>
      </c>
      <c r="S17" s="14">
        <f>DATE(CalYear,7,1)-WEEKDAY(DATE(CalYear,7,1),WeekType)+1+8</f>
        <v>46574</v>
      </c>
      <c r="T17" s="14">
        <f>DATE(CalYear,7,1)-WEEKDAY(DATE(CalYear,7,1),WeekType)+1+9</f>
        <v>46575</v>
      </c>
      <c r="U17" s="14">
        <f>DATE(CalYear,7,1)-WEEKDAY(DATE(CalYear,7,1),WeekType)+1+10</f>
        <v>46576</v>
      </c>
      <c r="V17" s="14">
        <f>DATE(CalYear,7,1)-WEEKDAY(DATE(CalYear,7,1),WeekType)+1+11</f>
        <v>46577</v>
      </c>
      <c r="W17" s="14">
        <f>DATE(CalYear,7,1)-WEEKDAY(DATE(CalYear,7,1),WeekType)+1+12</f>
        <v>46578</v>
      </c>
      <c r="X17" s="14">
        <f>DATE(CalYear,7,1)-WEEKDAY(DATE(CalYear,7,1),WeekType)+1+13</f>
        <v>46579</v>
      </c>
      <c r="Z17" s="14">
        <f>DATE(CalYear,8,1)-WEEKDAY(DATE(CalYear,8,1),WeekType)+1+7</f>
        <v>46601</v>
      </c>
      <c r="AA17" s="14">
        <f>DATE(CalYear,8,1)-WEEKDAY(DATE(CalYear,8,1),WeekType)+1+8</f>
        <v>46602</v>
      </c>
      <c r="AB17" s="14">
        <f>DATE(CalYear,8,1)-WEEKDAY(DATE(CalYear,8,1),WeekType)+1+9</f>
        <v>46603</v>
      </c>
      <c r="AC17" s="14">
        <f>DATE(CalYear,8,1)-WEEKDAY(DATE(CalYear,8,1),WeekType)+1+10</f>
        <v>46604</v>
      </c>
      <c r="AD17" s="14">
        <f>DATE(CalYear,8,1)-WEEKDAY(DATE(CalYear,8,1),WeekType)+1+11</f>
        <v>46605</v>
      </c>
      <c r="AE17" s="14">
        <f>DATE(CalYear,8,1)-WEEKDAY(DATE(CalYear,8,1),WeekType)+1+12</f>
        <v>46606</v>
      </c>
      <c r="AF17" s="14">
        <f>DATE(CalYear,8,1)-WEEKDAY(DATE(CalYear,8,1),WeekType)+1+13</f>
        <v>46607</v>
      </c>
      <c r="AP17">
        <f>IF(COUNTIF(HolShownDate,B17)&gt;0,1,0)</f>
        <v>0</v>
      </c>
      <c r="AQ17">
        <f>IF(COUNTIF(HolShownDate,C17)&gt;0,1,0)</f>
        <v>0</v>
      </c>
      <c r="AR17">
        <f>IF(COUNTIF(HolShownDate,D17)&gt;0,1,0)</f>
        <v>0</v>
      </c>
      <c r="AS17">
        <f>IF(COUNTIF(HolShownDate,E17)&gt;0,1,0)</f>
        <v>0</v>
      </c>
      <c r="AT17">
        <f>IF(COUNTIF(HolShownDate,F17)&gt;0,1,0)</f>
        <v>0</v>
      </c>
      <c r="AU17">
        <f>IF(COUNTIF(HolShownDate,G17)&gt;0,1,0)</f>
        <v>0</v>
      </c>
      <c r="AV17">
        <f>IF(COUNTIF(HolShownDate,H17)&gt;0,1,0)</f>
        <v>0</v>
      </c>
      <c r="AX17">
        <f>IF(COUNTIF(HolShownDate,J17)&gt;0,1,0)</f>
        <v>0</v>
      </c>
      <c r="AY17">
        <f>IF(COUNTIF(HolShownDate,K17)&gt;0,1,0)</f>
        <v>0</v>
      </c>
      <c r="AZ17">
        <f>IF(COUNTIF(HolShownDate,L17)&gt;0,1,0)</f>
        <v>0</v>
      </c>
      <c r="BA17">
        <f>IF(COUNTIF(HolShownDate,M17)&gt;0,1,0)</f>
        <v>0</v>
      </c>
      <c r="BB17">
        <f>IF(COUNTIF(HolShownDate,N17)&gt;0,1,0)</f>
        <v>0</v>
      </c>
      <c r="BC17">
        <f>IF(COUNTIF(HolShownDate,O17)&gt;0,1,0)</f>
        <v>0</v>
      </c>
      <c r="BD17">
        <f>IF(COUNTIF(HolShownDate,P17)&gt;0,1,0)</f>
        <v>0</v>
      </c>
      <c r="BF17">
        <f>IF(COUNTIF(HolShownDate,R17)&gt;0,1,0)</f>
        <v>1</v>
      </c>
      <c r="BG17">
        <f>IF(COUNTIF(HolShownDate,S17)&gt;0,1,0)</f>
        <v>0</v>
      </c>
      <c r="BH17">
        <f>IF(COUNTIF(HolShownDate,T17)&gt;0,1,0)</f>
        <v>0</v>
      </c>
      <c r="BI17">
        <f>IF(COUNTIF(HolShownDate,U17)&gt;0,1,0)</f>
        <v>0</v>
      </c>
      <c r="BJ17">
        <f>IF(COUNTIF(HolShownDate,V17)&gt;0,1,0)</f>
        <v>0</v>
      </c>
      <c r="BK17">
        <f>IF(COUNTIF(HolShownDate,W17)&gt;0,1,0)</f>
        <v>0</v>
      </c>
      <c r="BL17">
        <f>IF(COUNTIF(HolShownDate,X17)&gt;0,1,0)</f>
        <v>0</v>
      </c>
      <c r="BN17">
        <f>IF(COUNTIF(HolShownDate,Z17)&gt;0,1,0)</f>
        <v>0</v>
      </c>
      <c r="BO17">
        <f>IF(COUNTIF(HolShownDate,AA17)&gt;0,1,0)</f>
        <v>0</v>
      </c>
      <c r="BP17">
        <f>IF(COUNTIF(HolShownDate,AB17)&gt;0,1,0)</f>
        <v>0</v>
      </c>
      <c r="BQ17">
        <f>IF(COUNTIF(HolShownDate,AC17)&gt;0,1,0)</f>
        <v>0</v>
      </c>
      <c r="BR17">
        <f>IF(COUNTIF(HolShownDate,AD17)&gt;0,1,0)</f>
        <v>0</v>
      </c>
      <c r="BS17">
        <f>IF(COUNTIF(HolShownDate,AE17)&gt;0,1,0)</f>
        <v>0</v>
      </c>
      <c r="BT17">
        <f>IF(COUNTIF(HolShownDate,AF17)&gt;0,1,0)</f>
        <v>0</v>
      </c>
    </row>
    <row r="18" spans="2:72" x14ac:dyDescent="0.25">
      <c r="B18" s="14">
        <f>DATE(CalYear,5,1)-WEEKDAY(DATE(CalYear,5,1),WeekType)+1+14</f>
        <v>46517</v>
      </c>
      <c r="C18" s="14">
        <f>DATE(CalYear,5,1)-WEEKDAY(DATE(CalYear,5,1),WeekType)+1+15</f>
        <v>46518</v>
      </c>
      <c r="D18" s="14">
        <f>DATE(CalYear,5,1)-WEEKDAY(DATE(CalYear,5,1),WeekType)+1+16</f>
        <v>46519</v>
      </c>
      <c r="E18" s="14">
        <f>DATE(CalYear,5,1)-WEEKDAY(DATE(CalYear,5,1),WeekType)+1+17</f>
        <v>46520</v>
      </c>
      <c r="F18" s="14">
        <f>DATE(CalYear,5,1)-WEEKDAY(DATE(CalYear,5,1),WeekType)+1+18</f>
        <v>46521</v>
      </c>
      <c r="G18" s="14">
        <f>DATE(CalYear,5,1)-WEEKDAY(DATE(CalYear,5,1),WeekType)+1+19</f>
        <v>46522</v>
      </c>
      <c r="H18" s="14">
        <f>DATE(CalYear,5,1)-WEEKDAY(DATE(CalYear,5,1),WeekType)+1+20</f>
        <v>46523</v>
      </c>
      <c r="J18" s="14">
        <f>DATE(CalYear,6,1)-WEEKDAY(DATE(CalYear,6,1),WeekType)+1+14</f>
        <v>46552</v>
      </c>
      <c r="K18" s="14">
        <f>DATE(CalYear,6,1)-WEEKDAY(DATE(CalYear,6,1),WeekType)+1+15</f>
        <v>46553</v>
      </c>
      <c r="L18" s="14">
        <f>DATE(CalYear,6,1)-WEEKDAY(DATE(CalYear,6,1),WeekType)+1+16</f>
        <v>46554</v>
      </c>
      <c r="M18" s="14">
        <f>DATE(CalYear,6,1)-WEEKDAY(DATE(CalYear,6,1),WeekType)+1+17</f>
        <v>46555</v>
      </c>
      <c r="N18" s="14">
        <f>DATE(CalYear,6,1)-WEEKDAY(DATE(CalYear,6,1),WeekType)+1+18</f>
        <v>46556</v>
      </c>
      <c r="O18" s="14">
        <f>DATE(CalYear,6,1)-WEEKDAY(DATE(CalYear,6,1),WeekType)+1+19</f>
        <v>46557</v>
      </c>
      <c r="P18" s="14">
        <f>DATE(CalYear,6,1)-WEEKDAY(DATE(CalYear,6,1),WeekType)+1+20</f>
        <v>46558</v>
      </c>
      <c r="R18" s="14">
        <f>DATE(CalYear,7,1)-WEEKDAY(DATE(CalYear,7,1),WeekType)+1+14</f>
        <v>46580</v>
      </c>
      <c r="S18" s="14">
        <f>DATE(CalYear,7,1)-WEEKDAY(DATE(CalYear,7,1),WeekType)+1+15</f>
        <v>46581</v>
      </c>
      <c r="T18" s="14">
        <f>DATE(CalYear,7,1)-WEEKDAY(DATE(CalYear,7,1),WeekType)+1+16</f>
        <v>46582</v>
      </c>
      <c r="U18" s="14">
        <f>DATE(CalYear,7,1)-WEEKDAY(DATE(CalYear,7,1),WeekType)+1+17</f>
        <v>46583</v>
      </c>
      <c r="V18" s="14">
        <f>DATE(CalYear,7,1)-WEEKDAY(DATE(CalYear,7,1),WeekType)+1+18</f>
        <v>46584</v>
      </c>
      <c r="W18" s="14">
        <f>DATE(CalYear,7,1)-WEEKDAY(DATE(CalYear,7,1),WeekType)+1+19</f>
        <v>46585</v>
      </c>
      <c r="X18" s="14">
        <f>DATE(CalYear,7,1)-WEEKDAY(DATE(CalYear,7,1),WeekType)+1+20</f>
        <v>46586</v>
      </c>
      <c r="Z18" s="14">
        <f>DATE(CalYear,8,1)-WEEKDAY(DATE(CalYear,8,1),WeekType)+1+14</f>
        <v>46608</v>
      </c>
      <c r="AA18" s="14">
        <f>DATE(CalYear,8,1)-WEEKDAY(DATE(CalYear,8,1),WeekType)+1+15</f>
        <v>46609</v>
      </c>
      <c r="AB18" s="14">
        <f>DATE(CalYear,8,1)-WEEKDAY(DATE(CalYear,8,1),WeekType)+1+16</f>
        <v>46610</v>
      </c>
      <c r="AC18" s="14">
        <f>DATE(CalYear,8,1)-WEEKDAY(DATE(CalYear,8,1),WeekType)+1+17</f>
        <v>46611</v>
      </c>
      <c r="AD18" s="14">
        <f>DATE(CalYear,8,1)-WEEKDAY(DATE(CalYear,8,1),WeekType)+1+18</f>
        <v>46612</v>
      </c>
      <c r="AE18" s="14">
        <f>DATE(CalYear,8,1)-WEEKDAY(DATE(CalYear,8,1),WeekType)+1+19</f>
        <v>46613</v>
      </c>
      <c r="AF18" s="14">
        <f>DATE(CalYear,8,1)-WEEKDAY(DATE(CalYear,8,1),WeekType)+1+20</f>
        <v>46614</v>
      </c>
      <c r="AP18">
        <f>IF(COUNTIF(HolShownDate,B18)&gt;0,1,0)</f>
        <v>0</v>
      </c>
      <c r="AQ18">
        <f>IF(COUNTIF(HolShownDate,C18)&gt;0,1,0)</f>
        <v>0</v>
      </c>
      <c r="AR18">
        <f>IF(COUNTIF(HolShownDate,D18)&gt;0,1,0)</f>
        <v>0</v>
      </c>
      <c r="AS18">
        <f>IF(COUNTIF(HolShownDate,E18)&gt;0,1,0)</f>
        <v>0</v>
      </c>
      <c r="AT18">
        <f>IF(COUNTIF(HolShownDate,F18)&gt;0,1,0)</f>
        <v>0</v>
      </c>
      <c r="AU18">
        <f>IF(COUNTIF(HolShownDate,G18)&gt;0,1,0)</f>
        <v>0</v>
      </c>
      <c r="AV18">
        <f>IF(COUNTIF(HolShownDate,H18)&gt;0,1,0)</f>
        <v>0</v>
      </c>
      <c r="AX18">
        <f>IF(COUNTIF(HolShownDate,J18)&gt;0,1,0)</f>
        <v>0</v>
      </c>
      <c r="AY18">
        <f>IF(COUNTIF(HolShownDate,K18)&gt;0,1,0)</f>
        <v>0</v>
      </c>
      <c r="AZ18">
        <f>IF(COUNTIF(HolShownDate,L18)&gt;0,1,0)</f>
        <v>0</v>
      </c>
      <c r="BA18">
        <f>IF(COUNTIF(HolShownDate,M18)&gt;0,1,0)</f>
        <v>0</v>
      </c>
      <c r="BB18">
        <f>IF(COUNTIF(HolShownDate,N18)&gt;0,1,0)</f>
        <v>1</v>
      </c>
      <c r="BC18">
        <f>IF(COUNTIF(HolShownDate,O18)&gt;0,1,0)</f>
        <v>1</v>
      </c>
      <c r="BD18">
        <f>IF(COUNTIF(HolShownDate,P18)&gt;0,1,0)</f>
        <v>0</v>
      </c>
      <c r="BF18">
        <f>IF(COUNTIF(HolShownDate,R18)&gt;0,1,0)</f>
        <v>0</v>
      </c>
      <c r="BG18">
        <f>IF(COUNTIF(HolShownDate,S18)&gt;0,1,0)</f>
        <v>0</v>
      </c>
      <c r="BH18">
        <f>IF(COUNTIF(HolShownDate,T18)&gt;0,1,0)</f>
        <v>0</v>
      </c>
      <c r="BI18">
        <f>IF(COUNTIF(HolShownDate,U18)&gt;0,1,0)</f>
        <v>0</v>
      </c>
      <c r="BJ18">
        <f>IF(COUNTIF(HolShownDate,V18)&gt;0,1,0)</f>
        <v>0</v>
      </c>
      <c r="BK18">
        <f>IF(COUNTIF(HolShownDate,W18)&gt;0,1,0)</f>
        <v>0</v>
      </c>
      <c r="BL18">
        <f>IF(COUNTIF(HolShownDate,X18)&gt;0,1,0)</f>
        <v>0</v>
      </c>
      <c r="BN18">
        <f>IF(COUNTIF(HolShownDate,Z18)&gt;0,1,0)</f>
        <v>0</v>
      </c>
      <c r="BO18">
        <f>IF(COUNTIF(HolShownDate,AA18)&gt;0,1,0)</f>
        <v>0</v>
      </c>
      <c r="BP18">
        <f>IF(COUNTIF(HolShownDate,AB18)&gt;0,1,0)</f>
        <v>0</v>
      </c>
      <c r="BQ18">
        <f>IF(COUNTIF(HolShownDate,AC18)&gt;0,1,0)</f>
        <v>0</v>
      </c>
      <c r="BR18">
        <f>IF(COUNTIF(HolShownDate,AD18)&gt;0,1,0)</f>
        <v>0</v>
      </c>
      <c r="BS18">
        <f>IF(COUNTIF(HolShownDate,AE18)&gt;0,1,0)</f>
        <v>0</v>
      </c>
      <c r="BT18">
        <f>IF(COUNTIF(HolShownDate,AF18)&gt;0,1,0)</f>
        <v>0</v>
      </c>
    </row>
    <row r="19" spans="2:72" x14ac:dyDescent="0.25">
      <c r="B19" s="14">
        <f>DATE(CalYear,5,1)-WEEKDAY(DATE(CalYear,5,1),WeekType)+1+21</f>
        <v>46524</v>
      </c>
      <c r="C19" s="14">
        <f>DATE(CalYear,5,1)-WEEKDAY(DATE(CalYear,5,1),WeekType)+1+22</f>
        <v>46525</v>
      </c>
      <c r="D19" s="14">
        <f>DATE(CalYear,5,1)-WEEKDAY(DATE(CalYear,5,1),WeekType)+1+23</f>
        <v>46526</v>
      </c>
      <c r="E19" s="14">
        <f>DATE(CalYear,5,1)-WEEKDAY(DATE(CalYear,5,1),WeekType)+1+24</f>
        <v>46527</v>
      </c>
      <c r="F19" s="14">
        <f>DATE(CalYear,5,1)-WEEKDAY(DATE(CalYear,5,1),WeekType)+1+25</f>
        <v>46528</v>
      </c>
      <c r="G19" s="14">
        <f>DATE(CalYear,5,1)-WEEKDAY(DATE(CalYear,5,1),WeekType)+1+26</f>
        <v>46529</v>
      </c>
      <c r="H19" s="14">
        <f>DATE(CalYear,5,1)-WEEKDAY(DATE(CalYear,5,1),WeekType)+1+27</f>
        <v>46530</v>
      </c>
      <c r="J19" s="14">
        <f>DATE(CalYear,6,1)-WEEKDAY(DATE(CalYear,6,1),WeekType)+1+21</f>
        <v>46559</v>
      </c>
      <c r="K19" s="14">
        <f>DATE(CalYear,6,1)-WEEKDAY(DATE(CalYear,6,1),WeekType)+1+22</f>
        <v>46560</v>
      </c>
      <c r="L19" s="14">
        <f>DATE(CalYear,6,1)-WEEKDAY(DATE(CalYear,6,1),WeekType)+1+23</f>
        <v>46561</v>
      </c>
      <c r="M19" s="14">
        <f>DATE(CalYear,6,1)-WEEKDAY(DATE(CalYear,6,1),WeekType)+1+24</f>
        <v>46562</v>
      </c>
      <c r="N19" s="14">
        <f>DATE(CalYear,6,1)-WEEKDAY(DATE(CalYear,6,1),WeekType)+1+25</f>
        <v>46563</v>
      </c>
      <c r="O19" s="14">
        <f>DATE(CalYear,6,1)-WEEKDAY(DATE(CalYear,6,1),WeekType)+1+26</f>
        <v>46564</v>
      </c>
      <c r="P19" s="14">
        <f>DATE(CalYear,6,1)-WEEKDAY(DATE(CalYear,6,1),WeekType)+1+27</f>
        <v>46565</v>
      </c>
      <c r="R19" s="14">
        <f>DATE(CalYear,7,1)-WEEKDAY(DATE(CalYear,7,1),WeekType)+1+21</f>
        <v>46587</v>
      </c>
      <c r="S19" s="14">
        <f>DATE(CalYear,7,1)-WEEKDAY(DATE(CalYear,7,1),WeekType)+1+22</f>
        <v>46588</v>
      </c>
      <c r="T19" s="14">
        <f>DATE(CalYear,7,1)-WEEKDAY(DATE(CalYear,7,1),WeekType)+1+23</f>
        <v>46589</v>
      </c>
      <c r="U19" s="14">
        <f>DATE(CalYear,7,1)-WEEKDAY(DATE(CalYear,7,1),WeekType)+1+24</f>
        <v>46590</v>
      </c>
      <c r="V19" s="14">
        <f>DATE(CalYear,7,1)-WEEKDAY(DATE(CalYear,7,1),WeekType)+1+25</f>
        <v>46591</v>
      </c>
      <c r="W19" s="14">
        <f>DATE(CalYear,7,1)-WEEKDAY(DATE(CalYear,7,1),WeekType)+1+26</f>
        <v>46592</v>
      </c>
      <c r="X19" s="14">
        <f>DATE(CalYear,7,1)-WEEKDAY(DATE(CalYear,7,1),WeekType)+1+27</f>
        <v>46593</v>
      </c>
      <c r="Z19" s="14">
        <f>DATE(CalYear,8,1)-WEEKDAY(DATE(CalYear,8,1),WeekType)+1+21</f>
        <v>46615</v>
      </c>
      <c r="AA19" s="14">
        <f>DATE(CalYear,8,1)-WEEKDAY(DATE(CalYear,8,1),WeekType)+1+22</f>
        <v>46616</v>
      </c>
      <c r="AB19" s="14">
        <f>DATE(CalYear,8,1)-WEEKDAY(DATE(CalYear,8,1),WeekType)+1+23</f>
        <v>46617</v>
      </c>
      <c r="AC19" s="14">
        <f>DATE(CalYear,8,1)-WEEKDAY(DATE(CalYear,8,1),WeekType)+1+24</f>
        <v>46618</v>
      </c>
      <c r="AD19" s="14">
        <f>DATE(CalYear,8,1)-WEEKDAY(DATE(CalYear,8,1),WeekType)+1+25</f>
        <v>46619</v>
      </c>
      <c r="AE19" s="14">
        <f>DATE(CalYear,8,1)-WEEKDAY(DATE(CalYear,8,1),WeekType)+1+26</f>
        <v>46620</v>
      </c>
      <c r="AF19" s="14">
        <f>DATE(CalYear,8,1)-WEEKDAY(DATE(CalYear,8,1),WeekType)+1+27</f>
        <v>46621</v>
      </c>
      <c r="AP19">
        <f>IF(COUNTIF(HolShownDate,B19)&gt;0,1,0)</f>
        <v>0</v>
      </c>
      <c r="AQ19">
        <f>IF(COUNTIF(HolShownDate,C19)&gt;0,1,0)</f>
        <v>0</v>
      </c>
      <c r="AR19">
        <f>IF(COUNTIF(HolShownDate,D19)&gt;0,1,0)</f>
        <v>0</v>
      </c>
      <c r="AS19">
        <f>IF(COUNTIF(HolShownDate,E19)&gt;0,1,0)</f>
        <v>0</v>
      </c>
      <c r="AT19">
        <f>IF(COUNTIF(HolShownDate,F19)&gt;0,1,0)</f>
        <v>0</v>
      </c>
      <c r="AU19">
        <f>IF(COUNTIF(HolShownDate,G19)&gt;0,1,0)</f>
        <v>0</v>
      </c>
      <c r="AV19">
        <f>IF(COUNTIF(HolShownDate,H19)&gt;0,1,0)</f>
        <v>0</v>
      </c>
      <c r="AX19">
        <f>IF(COUNTIF(HolShownDate,J19)&gt;0,1,0)</f>
        <v>0</v>
      </c>
      <c r="AY19">
        <f>IF(COUNTIF(HolShownDate,K19)&gt;0,1,0)</f>
        <v>0</v>
      </c>
      <c r="AZ19">
        <f>IF(COUNTIF(HolShownDate,L19)&gt;0,1,0)</f>
        <v>0</v>
      </c>
      <c r="BA19">
        <f>IF(COUNTIF(HolShownDate,M19)&gt;0,1,0)</f>
        <v>0</v>
      </c>
      <c r="BB19">
        <f>IF(COUNTIF(HolShownDate,N19)&gt;0,1,0)</f>
        <v>0</v>
      </c>
      <c r="BC19">
        <f>IF(COUNTIF(HolShownDate,O19)&gt;0,1,0)</f>
        <v>0</v>
      </c>
      <c r="BD19">
        <f>IF(COUNTIF(HolShownDate,P19)&gt;0,1,0)</f>
        <v>0</v>
      </c>
      <c r="BF19">
        <f>IF(COUNTIF(HolShownDate,R19)&gt;0,1,0)</f>
        <v>0</v>
      </c>
      <c r="BG19">
        <f>IF(COUNTIF(HolShownDate,S19)&gt;0,1,0)</f>
        <v>0</v>
      </c>
      <c r="BH19">
        <f>IF(COUNTIF(HolShownDate,T19)&gt;0,1,0)</f>
        <v>0</v>
      </c>
      <c r="BI19">
        <f>IF(COUNTIF(HolShownDate,U19)&gt;0,1,0)</f>
        <v>0</v>
      </c>
      <c r="BJ19">
        <f>IF(COUNTIF(HolShownDate,V19)&gt;0,1,0)</f>
        <v>0</v>
      </c>
      <c r="BK19">
        <f>IF(COUNTIF(HolShownDate,W19)&gt;0,1,0)</f>
        <v>0</v>
      </c>
      <c r="BL19">
        <f>IF(COUNTIF(HolShownDate,X19)&gt;0,1,0)</f>
        <v>0</v>
      </c>
      <c r="BN19">
        <f>IF(COUNTIF(HolShownDate,Z19)&gt;0,1,0)</f>
        <v>0</v>
      </c>
      <c r="BO19">
        <f>IF(COUNTIF(HolShownDate,AA19)&gt;0,1,0)</f>
        <v>0</v>
      </c>
      <c r="BP19">
        <f>IF(COUNTIF(HolShownDate,AB19)&gt;0,1,0)</f>
        <v>0</v>
      </c>
      <c r="BQ19">
        <f>IF(COUNTIF(HolShownDate,AC19)&gt;0,1,0)</f>
        <v>0</v>
      </c>
      <c r="BR19">
        <f>IF(COUNTIF(HolShownDate,AD19)&gt;0,1,0)</f>
        <v>0</v>
      </c>
      <c r="BS19">
        <f>IF(COUNTIF(HolShownDate,AE19)&gt;0,1,0)</f>
        <v>0</v>
      </c>
      <c r="BT19">
        <f>IF(COUNTIF(HolShownDate,AF19)&gt;0,1,0)</f>
        <v>0</v>
      </c>
    </row>
    <row r="20" spans="2:72" x14ac:dyDescent="0.25">
      <c r="B20" s="14">
        <f>DATE(CalYear,5,1)-WEEKDAY(DATE(CalYear,5,1),WeekType)+1+28</f>
        <v>46531</v>
      </c>
      <c r="C20" s="14">
        <f>DATE(CalYear,5,1)-WEEKDAY(DATE(CalYear,5,1),WeekType)+1+29</f>
        <v>46532</v>
      </c>
      <c r="D20" s="14">
        <f>DATE(CalYear,5,1)-WEEKDAY(DATE(CalYear,5,1),WeekType)+1+30</f>
        <v>46533</v>
      </c>
      <c r="E20" s="14">
        <f>DATE(CalYear,5,1)-WEEKDAY(DATE(CalYear,5,1),WeekType)+1+31</f>
        <v>46534</v>
      </c>
      <c r="F20" s="14">
        <f>DATE(CalYear,5,1)-WEEKDAY(DATE(CalYear,5,1),WeekType)+1+32</f>
        <v>46535</v>
      </c>
      <c r="G20" s="14">
        <f>DATE(CalYear,5,1)-WEEKDAY(DATE(CalYear,5,1),WeekType)+1+33</f>
        <v>46536</v>
      </c>
      <c r="H20" s="14">
        <f>DATE(CalYear,5,1)-WEEKDAY(DATE(CalYear,5,1),WeekType)+1+34</f>
        <v>46537</v>
      </c>
      <c r="J20" s="14">
        <f>DATE(CalYear,6,1)-WEEKDAY(DATE(CalYear,6,1),WeekType)+1+28</f>
        <v>46566</v>
      </c>
      <c r="K20" s="14">
        <f>DATE(CalYear,6,1)-WEEKDAY(DATE(CalYear,6,1),WeekType)+1+29</f>
        <v>46567</v>
      </c>
      <c r="L20" s="14">
        <f>DATE(CalYear,6,1)-WEEKDAY(DATE(CalYear,6,1),WeekType)+1+30</f>
        <v>46568</v>
      </c>
      <c r="M20" s="14">
        <f>DATE(CalYear,6,1)-WEEKDAY(DATE(CalYear,6,1),WeekType)+1+31</f>
        <v>46569</v>
      </c>
      <c r="N20" s="14">
        <f>DATE(CalYear,6,1)-WEEKDAY(DATE(CalYear,6,1),WeekType)+1+32</f>
        <v>46570</v>
      </c>
      <c r="O20" s="14">
        <f>DATE(CalYear,6,1)-WEEKDAY(DATE(CalYear,6,1),WeekType)+1+33</f>
        <v>46571</v>
      </c>
      <c r="P20" s="14">
        <f>DATE(CalYear,6,1)-WEEKDAY(DATE(CalYear,6,1),WeekType)+1+34</f>
        <v>46572</v>
      </c>
      <c r="R20" s="14">
        <f>DATE(CalYear,7,1)-WEEKDAY(DATE(CalYear,7,1),WeekType)+1+28</f>
        <v>46594</v>
      </c>
      <c r="S20" s="14">
        <f>DATE(CalYear,7,1)-WEEKDAY(DATE(CalYear,7,1),WeekType)+1+29</f>
        <v>46595</v>
      </c>
      <c r="T20" s="14">
        <f>DATE(CalYear,7,1)-WEEKDAY(DATE(CalYear,7,1),WeekType)+1+30</f>
        <v>46596</v>
      </c>
      <c r="U20" s="14">
        <f>DATE(CalYear,7,1)-WEEKDAY(DATE(CalYear,7,1),WeekType)+1+31</f>
        <v>46597</v>
      </c>
      <c r="V20" s="14">
        <f>DATE(CalYear,7,1)-WEEKDAY(DATE(CalYear,7,1),WeekType)+1+32</f>
        <v>46598</v>
      </c>
      <c r="W20" s="14">
        <f>DATE(CalYear,7,1)-WEEKDAY(DATE(CalYear,7,1),WeekType)+1+33</f>
        <v>46599</v>
      </c>
      <c r="X20" s="14">
        <f>DATE(CalYear,7,1)-WEEKDAY(DATE(CalYear,7,1),WeekType)+1+34</f>
        <v>46600</v>
      </c>
      <c r="Z20" s="14">
        <f>DATE(CalYear,8,1)-WEEKDAY(DATE(CalYear,8,1),WeekType)+1+28</f>
        <v>46622</v>
      </c>
      <c r="AA20" s="14">
        <f>DATE(CalYear,8,1)-WEEKDAY(DATE(CalYear,8,1),WeekType)+1+29</f>
        <v>46623</v>
      </c>
      <c r="AB20" s="14">
        <f>DATE(CalYear,8,1)-WEEKDAY(DATE(CalYear,8,1),WeekType)+1+30</f>
        <v>46624</v>
      </c>
      <c r="AC20" s="14">
        <f>DATE(CalYear,8,1)-WEEKDAY(DATE(CalYear,8,1),WeekType)+1+31</f>
        <v>46625</v>
      </c>
      <c r="AD20" s="14">
        <f>DATE(CalYear,8,1)-WEEKDAY(DATE(CalYear,8,1),WeekType)+1+32</f>
        <v>46626</v>
      </c>
      <c r="AE20" s="14">
        <f>DATE(CalYear,8,1)-WEEKDAY(DATE(CalYear,8,1),WeekType)+1+33</f>
        <v>46627</v>
      </c>
      <c r="AF20" s="14">
        <f>DATE(CalYear,8,1)-WEEKDAY(DATE(CalYear,8,1),WeekType)+1+34</f>
        <v>46628</v>
      </c>
      <c r="AP20">
        <f>IF(COUNTIF(HolShownDate,B20)&gt;0,1,0)</f>
        <v>0</v>
      </c>
      <c r="AQ20">
        <f>IF(COUNTIF(HolShownDate,C20)&gt;0,1,0)</f>
        <v>0</v>
      </c>
      <c r="AR20">
        <f>IF(COUNTIF(HolShownDate,D20)&gt;0,1,0)</f>
        <v>0</v>
      </c>
      <c r="AS20">
        <f>IF(COUNTIF(HolShownDate,E20)&gt;0,1,0)</f>
        <v>0</v>
      </c>
      <c r="AT20">
        <f>IF(COUNTIF(HolShownDate,F20)&gt;0,1,0)</f>
        <v>0</v>
      </c>
      <c r="AU20">
        <f>IF(COUNTIF(HolShownDate,G20)&gt;0,1,0)</f>
        <v>0</v>
      </c>
      <c r="AV20">
        <f>IF(COUNTIF(HolShownDate,H20)&gt;0,1,0)</f>
        <v>0</v>
      </c>
      <c r="AX20">
        <f>IF(COUNTIF(HolShownDate,J20)&gt;0,1,0)</f>
        <v>0</v>
      </c>
      <c r="AY20">
        <f>IF(COUNTIF(HolShownDate,K20)&gt;0,1,0)</f>
        <v>0</v>
      </c>
      <c r="AZ20">
        <f>IF(COUNTIF(HolShownDate,L20)&gt;0,1,0)</f>
        <v>0</v>
      </c>
      <c r="BA20">
        <f>IF(COUNTIF(HolShownDate,M20)&gt;0,1,0)</f>
        <v>0</v>
      </c>
      <c r="BB20">
        <f>IF(COUNTIF(HolShownDate,N20)&gt;0,1,0)</f>
        <v>0</v>
      </c>
      <c r="BC20">
        <f>IF(COUNTIF(HolShownDate,O20)&gt;0,1,0)</f>
        <v>0</v>
      </c>
      <c r="BD20">
        <f>IF(COUNTIF(HolShownDate,P20)&gt;0,1,0)</f>
        <v>1</v>
      </c>
      <c r="BF20">
        <f>IF(COUNTIF(HolShownDate,R20)&gt;0,1,0)</f>
        <v>0</v>
      </c>
      <c r="BG20">
        <f>IF(COUNTIF(HolShownDate,S20)&gt;0,1,0)</f>
        <v>0</v>
      </c>
      <c r="BH20">
        <f>IF(COUNTIF(HolShownDate,T20)&gt;0,1,0)</f>
        <v>0</v>
      </c>
      <c r="BI20">
        <f>IF(COUNTIF(HolShownDate,U20)&gt;0,1,0)</f>
        <v>0</v>
      </c>
      <c r="BJ20">
        <f>IF(COUNTIF(HolShownDate,V20)&gt;0,1,0)</f>
        <v>0</v>
      </c>
      <c r="BK20">
        <f>IF(COUNTIF(HolShownDate,W20)&gt;0,1,0)</f>
        <v>0</v>
      </c>
      <c r="BL20">
        <f>IF(COUNTIF(HolShownDate,X20)&gt;0,1,0)</f>
        <v>0</v>
      </c>
      <c r="BN20">
        <f>IF(COUNTIF(HolShownDate,Z20)&gt;0,1,0)</f>
        <v>0</v>
      </c>
      <c r="BO20">
        <f>IF(COUNTIF(HolShownDate,AA20)&gt;0,1,0)</f>
        <v>0</v>
      </c>
      <c r="BP20">
        <f>IF(COUNTIF(HolShownDate,AB20)&gt;0,1,0)</f>
        <v>0</v>
      </c>
      <c r="BQ20">
        <f>IF(COUNTIF(HolShownDate,AC20)&gt;0,1,0)</f>
        <v>0</v>
      </c>
      <c r="BR20">
        <f>IF(COUNTIF(HolShownDate,AD20)&gt;0,1,0)</f>
        <v>0</v>
      </c>
      <c r="BS20">
        <f>IF(COUNTIF(HolShownDate,AE20)&gt;0,1,0)</f>
        <v>0</v>
      </c>
      <c r="BT20">
        <f>IF(COUNTIF(HolShownDate,AF20)&gt;0,1,0)</f>
        <v>0</v>
      </c>
    </row>
    <row r="21" spans="2:72" x14ac:dyDescent="0.25">
      <c r="B21" s="14">
        <f>DATE(CalYear,5,1)-WEEKDAY(DATE(CalYear,5,1),WeekType)+1+35</f>
        <v>46538</v>
      </c>
      <c r="C21" s="14">
        <f>DATE(CalYear,5,1)-WEEKDAY(DATE(CalYear,5,1),WeekType)+1+36</f>
        <v>46539</v>
      </c>
      <c r="D21" s="14">
        <f>DATE(CalYear,5,1)-WEEKDAY(DATE(CalYear,5,1),WeekType)+1+37</f>
        <v>46540</v>
      </c>
      <c r="E21" s="14">
        <f>DATE(CalYear,5,1)-WEEKDAY(DATE(CalYear,5,1),WeekType)+1+38</f>
        <v>46541</v>
      </c>
      <c r="F21" s="14">
        <f>DATE(CalYear,5,1)-WEEKDAY(DATE(CalYear,5,1),WeekType)+1+39</f>
        <v>46542</v>
      </c>
      <c r="G21" s="14">
        <f>DATE(CalYear,5,1)-WEEKDAY(DATE(CalYear,5,1),WeekType)+1+40</f>
        <v>46543</v>
      </c>
      <c r="H21" s="14">
        <f>DATE(CalYear,5,1)-WEEKDAY(DATE(CalYear,5,1),WeekType)+1+41</f>
        <v>46544</v>
      </c>
      <c r="J21" s="14">
        <f>DATE(CalYear,6,1)-WEEKDAY(DATE(CalYear,6,1),WeekType)+1+35</f>
        <v>46573</v>
      </c>
      <c r="K21" s="14">
        <f>DATE(CalYear,6,1)-WEEKDAY(DATE(CalYear,6,1),WeekType)+1+36</f>
        <v>46574</v>
      </c>
      <c r="L21" s="14">
        <f>DATE(CalYear,6,1)-WEEKDAY(DATE(CalYear,6,1),WeekType)+1+37</f>
        <v>46575</v>
      </c>
      <c r="M21" s="14">
        <f>DATE(CalYear,6,1)-WEEKDAY(DATE(CalYear,6,1),WeekType)+1+38</f>
        <v>46576</v>
      </c>
      <c r="N21" s="14">
        <f>DATE(CalYear,6,1)-WEEKDAY(DATE(CalYear,6,1),WeekType)+1+39</f>
        <v>46577</v>
      </c>
      <c r="O21" s="14">
        <f>DATE(CalYear,6,1)-WEEKDAY(DATE(CalYear,6,1),WeekType)+1+40</f>
        <v>46578</v>
      </c>
      <c r="P21" s="14">
        <f>DATE(CalYear,6,1)-WEEKDAY(DATE(CalYear,6,1),WeekType)+1+41</f>
        <v>46579</v>
      </c>
      <c r="R21" s="14">
        <f>DATE(CalYear,7,1)-WEEKDAY(DATE(CalYear,7,1),WeekType)+1+35</f>
        <v>46601</v>
      </c>
      <c r="S21" s="14">
        <f>DATE(CalYear,7,1)-WEEKDAY(DATE(CalYear,7,1),WeekType)+1+36</f>
        <v>46602</v>
      </c>
      <c r="T21" s="14">
        <f>DATE(CalYear,7,1)-WEEKDAY(DATE(CalYear,7,1),WeekType)+1+37</f>
        <v>46603</v>
      </c>
      <c r="U21" s="14">
        <f>DATE(CalYear,7,1)-WEEKDAY(DATE(CalYear,7,1),WeekType)+1+38</f>
        <v>46604</v>
      </c>
      <c r="V21" s="14">
        <f>DATE(CalYear,7,1)-WEEKDAY(DATE(CalYear,7,1),WeekType)+1+39</f>
        <v>46605</v>
      </c>
      <c r="W21" s="14">
        <f>DATE(CalYear,7,1)-WEEKDAY(DATE(CalYear,7,1),WeekType)+1+40</f>
        <v>46606</v>
      </c>
      <c r="X21" s="14">
        <f>DATE(CalYear,7,1)-WEEKDAY(DATE(CalYear,7,1),WeekType)+1+41</f>
        <v>46607</v>
      </c>
      <c r="Z21" s="14">
        <f>DATE(CalYear,8,1)-WEEKDAY(DATE(CalYear,8,1),WeekType)+1+35</f>
        <v>46629</v>
      </c>
      <c r="AA21" s="14">
        <f>DATE(CalYear,8,1)-WEEKDAY(DATE(CalYear,8,1),WeekType)+1+36</f>
        <v>46630</v>
      </c>
      <c r="AB21" s="14">
        <f>DATE(CalYear,8,1)-WEEKDAY(DATE(CalYear,8,1),WeekType)+1+37</f>
        <v>46631</v>
      </c>
      <c r="AC21" s="14">
        <f>DATE(CalYear,8,1)-WEEKDAY(DATE(CalYear,8,1),WeekType)+1+38</f>
        <v>46632</v>
      </c>
      <c r="AD21" s="14">
        <f>DATE(CalYear,8,1)-WEEKDAY(DATE(CalYear,8,1),WeekType)+1+39</f>
        <v>46633</v>
      </c>
      <c r="AE21" s="14">
        <f>DATE(CalYear,8,1)-WEEKDAY(DATE(CalYear,8,1),WeekType)+1+40</f>
        <v>46634</v>
      </c>
      <c r="AF21" s="14">
        <f>DATE(CalYear,8,1)-WEEKDAY(DATE(CalYear,8,1),WeekType)+1+41</f>
        <v>46635</v>
      </c>
      <c r="AP21">
        <f>IF(COUNTIF(HolShownDate,B21)&gt;0,1,0)</f>
        <v>1</v>
      </c>
      <c r="AQ21">
        <f>IF(COUNTIF(HolShownDate,C21)&gt;0,1,0)</f>
        <v>0</v>
      </c>
      <c r="AR21">
        <f>IF(COUNTIF(HolShownDate,D21)&gt;0,1,0)</f>
        <v>0</v>
      </c>
      <c r="AS21">
        <f>IF(COUNTIF(HolShownDate,E21)&gt;0,1,0)</f>
        <v>0</v>
      </c>
      <c r="AT21">
        <f>IF(COUNTIF(HolShownDate,F21)&gt;0,1,0)</f>
        <v>0</v>
      </c>
      <c r="AU21">
        <f>IF(COUNTIF(HolShownDate,G21)&gt;0,1,0)</f>
        <v>0</v>
      </c>
      <c r="AV21">
        <f>IF(COUNTIF(HolShownDate,H21)&gt;0,1,0)</f>
        <v>0</v>
      </c>
      <c r="AX21">
        <f>IF(COUNTIF(HolShownDate,J21)&gt;0,1,0)</f>
        <v>1</v>
      </c>
      <c r="AY21">
        <f>IF(COUNTIF(HolShownDate,K21)&gt;0,1,0)</f>
        <v>0</v>
      </c>
      <c r="AZ21">
        <f>IF(COUNTIF(HolShownDate,L21)&gt;0,1,0)</f>
        <v>0</v>
      </c>
      <c r="BA21">
        <f>IF(COUNTIF(HolShownDate,M21)&gt;0,1,0)</f>
        <v>0</v>
      </c>
      <c r="BB21">
        <f>IF(COUNTIF(HolShownDate,N21)&gt;0,1,0)</f>
        <v>0</v>
      </c>
      <c r="BC21">
        <f>IF(COUNTIF(HolShownDate,O21)&gt;0,1,0)</f>
        <v>0</v>
      </c>
      <c r="BD21">
        <f>IF(COUNTIF(HolShownDate,P21)&gt;0,1,0)</f>
        <v>0</v>
      </c>
      <c r="BF21">
        <f>IF(COUNTIF(HolShownDate,R21)&gt;0,1,0)</f>
        <v>0</v>
      </c>
      <c r="BG21">
        <f>IF(COUNTIF(HolShownDate,S21)&gt;0,1,0)</f>
        <v>0</v>
      </c>
      <c r="BH21">
        <f>IF(COUNTIF(HolShownDate,T21)&gt;0,1,0)</f>
        <v>0</v>
      </c>
      <c r="BI21">
        <f>IF(COUNTIF(HolShownDate,U21)&gt;0,1,0)</f>
        <v>0</v>
      </c>
      <c r="BJ21">
        <f>IF(COUNTIF(HolShownDate,V21)&gt;0,1,0)</f>
        <v>0</v>
      </c>
      <c r="BK21">
        <f>IF(COUNTIF(HolShownDate,W21)&gt;0,1,0)</f>
        <v>0</v>
      </c>
      <c r="BL21">
        <f>IF(COUNTIF(HolShownDate,X21)&gt;0,1,0)</f>
        <v>0</v>
      </c>
      <c r="BN21">
        <f>IF(COUNTIF(HolShownDate,Z21)&gt;0,1,0)</f>
        <v>0</v>
      </c>
      <c r="BO21">
        <f>IF(COUNTIF(HolShownDate,AA21)&gt;0,1,0)</f>
        <v>0</v>
      </c>
      <c r="BP21">
        <f>IF(COUNTIF(HolShownDate,AB21)&gt;0,1,0)</f>
        <v>0</v>
      </c>
      <c r="BQ21">
        <f>IF(COUNTIF(HolShownDate,AC21)&gt;0,1,0)</f>
        <v>0</v>
      </c>
      <c r="BR21">
        <f>IF(COUNTIF(HolShownDate,AD21)&gt;0,1,0)</f>
        <v>0</v>
      </c>
      <c r="BS21">
        <f>IF(COUNTIF(HolShownDate,AE21)&gt;0,1,0)</f>
        <v>0</v>
      </c>
      <c r="BT21">
        <f>IF(COUNTIF(HolShownDate,AF21)&gt;0,1,0)</f>
        <v>0</v>
      </c>
    </row>
    <row r="24" spans="2:32" x14ac:dyDescent="0.25">
      <c r="B24" s="12" t="str">
        <f>INDEX(MonthNames,9)</f>
        <v>September</v>
      </c>
      <c r="C24" s="12"/>
      <c r="D24" s="12"/>
      <c r="E24" s="12"/>
      <c r="F24" s="12"/>
      <c r="G24" s="12"/>
      <c r="H24" s="12"/>
      <c r="J24" s="12" t="str">
        <f>INDEX(MonthNames,10)</f>
        <v>October</v>
      </c>
      <c r="K24" s="12"/>
      <c r="L24" s="12"/>
      <c r="M24" s="12"/>
      <c r="N24" s="12"/>
      <c r="O24" s="12"/>
      <c r="P24" s="12"/>
      <c r="R24" s="12" t="str">
        <f>INDEX(MonthNames,11)</f>
        <v>November</v>
      </c>
      <c r="S24" s="12"/>
      <c r="T24" s="12"/>
      <c r="U24" s="12"/>
      <c r="V24" s="12"/>
      <c r="W24" s="12"/>
      <c r="X24" s="12"/>
      <c r="Z24" s="12" t="str">
        <f>INDEX(MonthNames,12)</f>
        <v>December</v>
      </c>
      <c r="AA24" s="12"/>
      <c r="AB24" s="12"/>
      <c r="AC24" s="12"/>
      <c r="AD24" s="12"/>
      <c r="AE24" s="12"/>
      <c r="AF24" s="12"/>
    </row>
    <row r="25" spans="2:32" x14ac:dyDescent="0.25">
      <c r="B25" s="13" t="str">
        <f>INDEX(DayInitial,MOD(0+IF(WeekType=2,0,6),7)+1)</f>
        <v>M</v>
      </c>
      <c r="C25" s="13" t="str">
        <f>INDEX(DayInitial,MOD(1+IF(WeekType=2,0,6),7)+1)</f>
        <v>T</v>
      </c>
      <c r="D25" s="13" t="str">
        <f>INDEX(DayInitial,MOD(2+IF(WeekType=2,0,6),7)+1)</f>
        <v>W</v>
      </c>
      <c r="E25" s="13" t="str">
        <f>INDEX(DayInitial,MOD(3+IF(WeekType=2,0,6),7)+1)</f>
        <v>T</v>
      </c>
      <c r="F25" s="13" t="str">
        <f>INDEX(DayInitial,MOD(4+IF(WeekType=2,0,6),7)+1)</f>
        <v>F</v>
      </c>
      <c r="G25" s="13" t="str">
        <f>INDEX(DayInitial,MOD(5+IF(WeekType=2,0,6),7)+1)</f>
        <v>S</v>
      </c>
      <c r="H25" s="13" t="str">
        <f>INDEX(DayInitial,MOD(6+IF(WeekType=2,0,6),7)+1)</f>
        <v>S</v>
      </c>
      <c r="J25" s="13" t="str">
        <f>INDEX(DayInitial,MOD(0+IF(WeekType=2,0,6),7)+1)</f>
        <v>M</v>
      </c>
      <c r="K25" s="13" t="str">
        <f>INDEX(DayInitial,MOD(1+IF(WeekType=2,0,6),7)+1)</f>
        <v>T</v>
      </c>
      <c r="L25" s="13" t="str">
        <f>INDEX(DayInitial,MOD(2+IF(WeekType=2,0,6),7)+1)</f>
        <v>W</v>
      </c>
      <c r="M25" s="13" t="str">
        <f>INDEX(DayInitial,MOD(3+IF(WeekType=2,0,6),7)+1)</f>
        <v>T</v>
      </c>
      <c r="N25" s="13" t="str">
        <f>INDEX(DayInitial,MOD(4+IF(WeekType=2,0,6),7)+1)</f>
        <v>F</v>
      </c>
      <c r="O25" s="13" t="str">
        <f>INDEX(DayInitial,MOD(5+IF(WeekType=2,0,6),7)+1)</f>
        <v>S</v>
      </c>
      <c r="P25" s="13" t="str">
        <f>INDEX(DayInitial,MOD(6+IF(WeekType=2,0,6),7)+1)</f>
        <v>S</v>
      </c>
      <c r="R25" s="13" t="str">
        <f>INDEX(DayInitial,MOD(0+IF(WeekType=2,0,6),7)+1)</f>
        <v>M</v>
      </c>
      <c r="S25" s="13" t="str">
        <f>INDEX(DayInitial,MOD(1+IF(WeekType=2,0,6),7)+1)</f>
        <v>T</v>
      </c>
      <c r="T25" s="13" t="str">
        <f>INDEX(DayInitial,MOD(2+IF(WeekType=2,0,6),7)+1)</f>
        <v>W</v>
      </c>
      <c r="U25" s="13" t="str">
        <f>INDEX(DayInitial,MOD(3+IF(WeekType=2,0,6),7)+1)</f>
        <v>T</v>
      </c>
      <c r="V25" s="13" t="str">
        <f>INDEX(DayInitial,MOD(4+IF(WeekType=2,0,6),7)+1)</f>
        <v>F</v>
      </c>
      <c r="W25" s="13" t="str">
        <f>INDEX(DayInitial,MOD(5+IF(WeekType=2,0,6),7)+1)</f>
        <v>S</v>
      </c>
      <c r="X25" s="13" t="str">
        <f>INDEX(DayInitial,MOD(6+IF(WeekType=2,0,6),7)+1)</f>
        <v>S</v>
      </c>
      <c r="Z25" s="13" t="str">
        <f>INDEX(DayInitial,MOD(0+IF(WeekType=2,0,6),7)+1)</f>
        <v>M</v>
      </c>
      <c r="AA25" s="13" t="str">
        <f>INDEX(DayInitial,MOD(1+IF(WeekType=2,0,6),7)+1)</f>
        <v>T</v>
      </c>
      <c r="AB25" s="13" t="str">
        <f>INDEX(DayInitial,MOD(2+IF(WeekType=2,0,6),7)+1)</f>
        <v>W</v>
      </c>
      <c r="AC25" s="13" t="str">
        <f>INDEX(DayInitial,MOD(3+IF(WeekType=2,0,6),7)+1)</f>
        <v>T</v>
      </c>
      <c r="AD25" s="13" t="str">
        <f>INDEX(DayInitial,MOD(4+IF(WeekType=2,0,6),7)+1)</f>
        <v>F</v>
      </c>
      <c r="AE25" s="13" t="str">
        <f>INDEX(DayInitial,MOD(5+IF(WeekType=2,0,6),7)+1)</f>
        <v>S</v>
      </c>
      <c r="AF25" s="13" t="str">
        <f>INDEX(DayInitial,MOD(6+IF(WeekType=2,0,6),7)+1)</f>
        <v>S</v>
      </c>
    </row>
    <row r="26" spans="2:72" x14ac:dyDescent="0.25">
      <c r="B26" s="14">
        <f>DATE(CalYear,9,1)-WEEKDAY(DATE(CalYear,9,1),WeekType)+1+0</f>
        <v>46629</v>
      </c>
      <c r="C26" s="14">
        <f>DATE(CalYear,9,1)-WEEKDAY(DATE(CalYear,9,1),WeekType)+1+1</f>
        <v>46630</v>
      </c>
      <c r="D26" s="14">
        <f>DATE(CalYear,9,1)-WEEKDAY(DATE(CalYear,9,1),WeekType)+1+2</f>
        <v>46631</v>
      </c>
      <c r="E26" s="14">
        <f>DATE(CalYear,9,1)-WEEKDAY(DATE(CalYear,9,1),WeekType)+1+3</f>
        <v>46632</v>
      </c>
      <c r="F26" s="14">
        <f>DATE(CalYear,9,1)-WEEKDAY(DATE(CalYear,9,1),WeekType)+1+4</f>
        <v>46633</v>
      </c>
      <c r="G26" s="14">
        <f>DATE(CalYear,9,1)-WEEKDAY(DATE(CalYear,9,1),WeekType)+1+5</f>
        <v>46634</v>
      </c>
      <c r="H26" s="14">
        <f>DATE(CalYear,9,1)-WEEKDAY(DATE(CalYear,9,1),WeekType)+1+6</f>
        <v>46635</v>
      </c>
      <c r="J26" s="14">
        <f>DATE(CalYear,10,1)-WEEKDAY(DATE(CalYear,10,1),WeekType)+1+0</f>
        <v>46657</v>
      </c>
      <c r="K26" s="14">
        <f>DATE(CalYear,10,1)-WEEKDAY(DATE(CalYear,10,1),WeekType)+1+1</f>
        <v>46658</v>
      </c>
      <c r="L26" s="14">
        <f>DATE(CalYear,10,1)-WEEKDAY(DATE(CalYear,10,1),WeekType)+1+2</f>
        <v>46659</v>
      </c>
      <c r="M26" s="14">
        <f>DATE(CalYear,10,1)-WEEKDAY(DATE(CalYear,10,1),WeekType)+1+3</f>
        <v>46660</v>
      </c>
      <c r="N26" s="14">
        <f>DATE(CalYear,10,1)-WEEKDAY(DATE(CalYear,10,1),WeekType)+1+4</f>
        <v>46661</v>
      </c>
      <c r="O26" s="14">
        <f>DATE(CalYear,10,1)-WEEKDAY(DATE(CalYear,10,1),WeekType)+1+5</f>
        <v>46662</v>
      </c>
      <c r="P26" s="14">
        <f>DATE(CalYear,10,1)-WEEKDAY(DATE(CalYear,10,1),WeekType)+1+6</f>
        <v>46663</v>
      </c>
      <c r="R26" s="14">
        <f>DATE(CalYear,11,1)-WEEKDAY(DATE(CalYear,11,1),WeekType)+1+0</f>
        <v>46692</v>
      </c>
      <c r="S26" s="14">
        <f>DATE(CalYear,11,1)-WEEKDAY(DATE(CalYear,11,1),WeekType)+1+1</f>
        <v>46693</v>
      </c>
      <c r="T26" s="14">
        <f>DATE(CalYear,11,1)-WEEKDAY(DATE(CalYear,11,1),WeekType)+1+2</f>
        <v>46694</v>
      </c>
      <c r="U26" s="14">
        <f>DATE(CalYear,11,1)-WEEKDAY(DATE(CalYear,11,1),WeekType)+1+3</f>
        <v>46695</v>
      </c>
      <c r="V26" s="14">
        <f>DATE(CalYear,11,1)-WEEKDAY(DATE(CalYear,11,1),WeekType)+1+4</f>
        <v>46696</v>
      </c>
      <c r="W26" s="14">
        <f>DATE(CalYear,11,1)-WEEKDAY(DATE(CalYear,11,1),WeekType)+1+5</f>
        <v>46697</v>
      </c>
      <c r="X26" s="14">
        <f>DATE(CalYear,11,1)-WEEKDAY(DATE(CalYear,11,1),WeekType)+1+6</f>
        <v>46698</v>
      </c>
      <c r="Z26" s="14">
        <f>DATE(CalYear,12,1)-WEEKDAY(DATE(CalYear,12,1),WeekType)+1+0</f>
        <v>46720</v>
      </c>
      <c r="AA26" s="14">
        <f>DATE(CalYear,12,1)-WEEKDAY(DATE(CalYear,12,1),WeekType)+1+1</f>
        <v>46721</v>
      </c>
      <c r="AB26" s="14">
        <f>DATE(CalYear,12,1)-WEEKDAY(DATE(CalYear,12,1),WeekType)+1+2</f>
        <v>46722</v>
      </c>
      <c r="AC26" s="14">
        <f>DATE(CalYear,12,1)-WEEKDAY(DATE(CalYear,12,1),WeekType)+1+3</f>
        <v>46723</v>
      </c>
      <c r="AD26" s="14">
        <f>DATE(CalYear,12,1)-WEEKDAY(DATE(CalYear,12,1),WeekType)+1+4</f>
        <v>46724</v>
      </c>
      <c r="AE26" s="14">
        <f>DATE(CalYear,12,1)-WEEKDAY(DATE(CalYear,12,1),WeekType)+1+5</f>
        <v>46725</v>
      </c>
      <c r="AF26" s="14">
        <f>DATE(CalYear,12,1)-WEEKDAY(DATE(CalYear,12,1),WeekType)+1+6</f>
        <v>46726</v>
      </c>
      <c r="AP26">
        <f>IF(COUNTIF(HolShownDate,B26)&gt;0,1,0)</f>
        <v>0</v>
      </c>
      <c r="AQ26">
        <f>IF(COUNTIF(HolShownDate,C26)&gt;0,1,0)</f>
        <v>0</v>
      </c>
      <c r="AR26">
        <f>IF(COUNTIF(HolShownDate,D26)&gt;0,1,0)</f>
        <v>0</v>
      </c>
      <c r="AS26">
        <f>IF(COUNTIF(HolShownDate,E26)&gt;0,1,0)</f>
        <v>0</v>
      </c>
      <c r="AT26">
        <f>IF(COUNTIF(HolShownDate,F26)&gt;0,1,0)</f>
        <v>0</v>
      </c>
      <c r="AU26">
        <f>IF(COUNTIF(HolShownDate,G26)&gt;0,1,0)</f>
        <v>0</v>
      </c>
      <c r="AV26">
        <f>IF(COUNTIF(HolShownDate,H26)&gt;0,1,0)</f>
        <v>0</v>
      </c>
      <c r="AX26">
        <f>IF(COUNTIF(HolShownDate,J26)&gt;0,1,0)</f>
        <v>0</v>
      </c>
      <c r="AY26">
        <f>IF(COUNTIF(HolShownDate,K26)&gt;0,1,0)</f>
        <v>0</v>
      </c>
      <c r="AZ26">
        <f>IF(COUNTIF(HolShownDate,L26)&gt;0,1,0)</f>
        <v>0</v>
      </c>
      <c r="BA26">
        <f>IF(COUNTIF(HolShownDate,M26)&gt;0,1,0)</f>
        <v>0</v>
      </c>
      <c r="BB26">
        <f>IF(COUNTIF(HolShownDate,N26)&gt;0,1,0)</f>
        <v>0</v>
      </c>
      <c r="BC26">
        <f>IF(COUNTIF(HolShownDate,O26)&gt;0,1,0)</f>
        <v>0</v>
      </c>
      <c r="BD26">
        <f>IF(COUNTIF(HolShownDate,P26)&gt;0,1,0)</f>
        <v>0</v>
      </c>
      <c r="BF26">
        <f>IF(COUNTIF(HolShownDate,R26)&gt;0,1,0)</f>
        <v>0</v>
      </c>
      <c r="BG26">
        <f>IF(COUNTIF(HolShownDate,S26)&gt;0,1,0)</f>
        <v>0</v>
      </c>
      <c r="BH26">
        <f>IF(COUNTIF(HolShownDate,T26)&gt;0,1,0)</f>
        <v>0</v>
      </c>
      <c r="BI26">
        <f>IF(COUNTIF(HolShownDate,U26)&gt;0,1,0)</f>
        <v>0</v>
      </c>
      <c r="BJ26">
        <f>IF(COUNTIF(HolShownDate,V26)&gt;0,1,0)</f>
        <v>0</v>
      </c>
      <c r="BK26">
        <f>IF(COUNTIF(HolShownDate,W26)&gt;0,1,0)</f>
        <v>0</v>
      </c>
      <c r="BL26">
        <f>IF(COUNTIF(HolShownDate,X26)&gt;0,1,0)</f>
        <v>0</v>
      </c>
      <c r="BN26">
        <f>IF(COUNTIF(HolShownDate,Z26)&gt;0,1,0)</f>
        <v>0</v>
      </c>
      <c r="BO26">
        <f>IF(COUNTIF(HolShownDate,AA26)&gt;0,1,0)</f>
        <v>0</v>
      </c>
      <c r="BP26">
        <f>IF(COUNTIF(HolShownDate,AB26)&gt;0,1,0)</f>
        <v>0</v>
      </c>
      <c r="BQ26">
        <f>IF(COUNTIF(HolShownDate,AC26)&gt;0,1,0)</f>
        <v>0</v>
      </c>
      <c r="BR26">
        <f>IF(COUNTIF(HolShownDate,AD26)&gt;0,1,0)</f>
        <v>0</v>
      </c>
      <c r="BS26">
        <f>IF(COUNTIF(HolShownDate,AE26)&gt;0,1,0)</f>
        <v>0</v>
      </c>
      <c r="BT26">
        <f>IF(COUNTIF(HolShownDate,AF26)&gt;0,1,0)</f>
        <v>0</v>
      </c>
    </row>
    <row r="27" spans="2:72" x14ac:dyDescent="0.25">
      <c r="B27" s="14">
        <f>DATE(CalYear,9,1)-WEEKDAY(DATE(CalYear,9,1),WeekType)+1+7</f>
        <v>46636</v>
      </c>
      <c r="C27" s="14">
        <f>DATE(CalYear,9,1)-WEEKDAY(DATE(CalYear,9,1),WeekType)+1+8</f>
        <v>46637</v>
      </c>
      <c r="D27" s="14">
        <f>DATE(CalYear,9,1)-WEEKDAY(DATE(CalYear,9,1),WeekType)+1+9</f>
        <v>46638</v>
      </c>
      <c r="E27" s="14">
        <f>DATE(CalYear,9,1)-WEEKDAY(DATE(CalYear,9,1),WeekType)+1+10</f>
        <v>46639</v>
      </c>
      <c r="F27" s="14">
        <f>DATE(CalYear,9,1)-WEEKDAY(DATE(CalYear,9,1),WeekType)+1+11</f>
        <v>46640</v>
      </c>
      <c r="G27" s="14">
        <f>DATE(CalYear,9,1)-WEEKDAY(DATE(CalYear,9,1),WeekType)+1+12</f>
        <v>46641</v>
      </c>
      <c r="H27" s="14">
        <f>DATE(CalYear,9,1)-WEEKDAY(DATE(CalYear,9,1),WeekType)+1+13</f>
        <v>46642</v>
      </c>
      <c r="J27" s="14">
        <f>DATE(CalYear,10,1)-WEEKDAY(DATE(CalYear,10,1),WeekType)+1+7</f>
        <v>46664</v>
      </c>
      <c r="K27" s="14">
        <f>DATE(CalYear,10,1)-WEEKDAY(DATE(CalYear,10,1),WeekType)+1+8</f>
        <v>46665</v>
      </c>
      <c r="L27" s="14">
        <f>DATE(CalYear,10,1)-WEEKDAY(DATE(CalYear,10,1),WeekType)+1+9</f>
        <v>46666</v>
      </c>
      <c r="M27" s="14">
        <f>DATE(CalYear,10,1)-WEEKDAY(DATE(CalYear,10,1),WeekType)+1+10</f>
        <v>46667</v>
      </c>
      <c r="N27" s="14">
        <f>DATE(CalYear,10,1)-WEEKDAY(DATE(CalYear,10,1),WeekType)+1+11</f>
        <v>46668</v>
      </c>
      <c r="O27" s="14">
        <f>DATE(CalYear,10,1)-WEEKDAY(DATE(CalYear,10,1),WeekType)+1+12</f>
        <v>46669</v>
      </c>
      <c r="P27" s="14">
        <f>DATE(CalYear,10,1)-WEEKDAY(DATE(CalYear,10,1),WeekType)+1+13</f>
        <v>46670</v>
      </c>
      <c r="R27" s="14">
        <f>DATE(CalYear,11,1)-WEEKDAY(DATE(CalYear,11,1),WeekType)+1+7</f>
        <v>46699</v>
      </c>
      <c r="S27" s="14">
        <f>DATE(CalYear,11,1)-WEEKDAY(DATE(CalYear,11,1),WeekType)+1+8</f>
        <v>46700</v>
      </c>
      <c r="T27" s="14">
        <f>DATE(CalYear,11,1)-WEEKDAY(DATE(CalYear,11,1),WeekType)+1+9</f>
        <v>46701</v>
      </c>
      <c r="U27" s="14">
        <f>DATE(CalYear,11,1)-WEEKDAY(DATE(CalYear,11,1),WeekType)+1+10</f>
        <v>46702</v>
      </c>
      <c r="V27" s="14">
        <f>DATE(CalYear,11,1)-WEEKDAY(DATE(CalYear,11,1),WeekType)+1+11</f>
        <v>46703</v>
      </c>
      <c r="W27" s="14">
        <f>DATE(CalYear,11,1)-WEEKDAY(DATE(CalYear,11,1),WeekType)+1+12</f>
        <v>46704</v>
      </c>
      <c r="X27" s="14">
        <f>DATE(CalYear,11,1)-WEEKDAY(DATE(CalYear,11,1),WeekType)+1+13</f>
        <v>46705</v>
      </c>
      <c r="Z27" s="14">
        <f>DATE(CalYear,12,1)-WEEKDAY(DATE(CalYear,12,1),WeekType)+1+7</f>
        <v>46727</v>
      </c>
      <c r="AA27" s="14">
        <f>DATE(CalYear,12,1)-WEEKDAY(DATE(CalYear,12,1),WeekType)+1+8</f>
        <v>46728</v>
      </c>
      <c r="AB27" s="14">
        <f>DATE(CalYear,12,1)-WEEKDAY(DATE(CalYear,12,1),WeekType)+1+9</f>
        <v>46729</v>
      </c>
      <c r="AC27" s="14">
        <f>DATE(CalYear,12,1)-WEEKDAY(DATE(CalYear,12,1),WeekType)+1+10</f>
        <v>46730</v>
      </c>
      <c r="AD27" s="14">
        <f>DATE(CalYear,12,1)-WEEKDAY(DATE(CalYear,12,1),WeekType)+1+11</f>
        <v>46731</v>
      </c>
      <c r="AE27" s="14">
        <f>DATE(CalYear,12,1)-WEEKDAY(DATE(CalYear,12,1),WeekType)+1+12</f>
        <v>46732</v>
      </c>
      <c r="AF27" s="14">
        <f>DATE(CalYear,12,1)-WEEKDAY(DATE(CalYear,12,1),WeekType)+1+13</f>
        <v>46733</v>
      </c>
      <c r="AP27">
        <f>IF(COUNTIF(HolShownDate,B27)&gt;0,1,0)</f>
        <v>1</v>
      </c>
      <c r="AQ27">
        <f>IF(COUNTIF(HolShownDate,C27)&gt;0,1,0)</f>
        <v>0</v>
      </c>
      <c r="AR27">
        <f>IF(COUNTIF(HolShownDate,D27)&gt;0,1,0)</f>
        <v>0</v>
      </c>
      <c r="AS27">
        <f>IF(COUNTIF(HolShownDate,E27)&gt;0,1,0)</f>
        <v>0</v>
      </c>
      <c r="AT27">
        <f>IF(COUNTIF(HolShownDate,F27)&gt;0,1,0)</f>
        <v>0</v>
      </c>
      <c r="AU27">
        <f>IF(COUNTIF(HolShownDate,G27)&gt;0,1,0)</f>
        <v>0</v>
      </c>
      <c r="AV27">
        <f>IF(COUNTIF(HolShownDate,H27)&gt;0,1,0)</f>
        <v>0</v>
      </c>
      <c r="AX27">
        <f>IF(COUNTIF(HolShownDate,J27)&gt;0,1,0)</f>
        <v>0</v>
      </c>
      <c r="AY27">
        <f>IF(COUNTIF(HolShownDate,K27)&gt;0,1,0)</f>
        <v>0</v>
      </c>
      <c r="AZ27">
        <f>IF(COUNTIF(HolShownDate,L27)&gt;0,1,0)</f>
        <v>0</v>
      </c>
      <c r="BA27">
        <f>IF(COUNTIF(HolShownDate,M27)&gt;0,1,0)</f>
        <v>0</v>
      </c>
      <c r="BB27">
        <f>IF(COUNTIF(HolShownDate,N27)&gt;0,1,0)</f>
        <v>0</v>
      </c>
      <c r="BC27">
        <f>IF(COUNTIF(HolShownDate,O27)&gt;0,1,0)</f>
        <v>0</v>
      </c>
      <c r="BD27">
        <f>IF(COUNTIF(HolShownDate,P27)&gt;0,1,0)</f>
        <v>0</v>
      </c>
      <c r="BF27">
        <f>IF(COUNTIF(HolShownDate,R27)&gt;0,1,0)</f>
        <v>0</v>
      </c>
      <c r="BG27">
        <f>IF(COUNTIF(HolShownDate,S27)&gt;0,1,0)</f>
        <v>0</v>
      </c>
      <c r="BH27">
        <f>IF(COUNTIF(HolShownDate,T27)&gt;0,1,0)</f>
        <v>0</v>
      </c>
      <c r="BI27">
        <f>IF(COUNTIF(HolShownDate,U27)&gt;0,1,0)</f>
        <v>1</v>
      </c>
      <c r="BJ27">
        <f>IF(COUNTIF(HolShownDate,V27)&gt;0,1,0)</f>
        <v>0</v>
      </c>
      <c r="BK27">
        <f>IF(COUNTIF(HolShownDate,W27)&gt;0,1,0)</f>
        <v>0</v>
      </c>
      <c r="BL27">
        <f>IF(COUNTIF(HolShownDate,X27)&gt;0,1,0)</f>
        <v>0</v>
      </c>
      <c r="BN27">
        <f>IF(COUNTIF(HolShownDate,Z27)&gt;0,1,0)</f>
        <v>0</v>
      </c>
      <c r="BO27">
        <f>IF(COUNTIF(HolShownDate,AA27)&gt;0,1,0)</f>
        <v>0</v>
      </c>
      <c r="BP27">
        <f>IF(COUNTIF(HolShownDate,AB27)&gt;0,1,0)</f>
        <v>0</v>
      </c>
      <c r="BQ27">
        <f>IF(COUNTIF(HolShownDate,AC27)&gt;0,1,0)</f>
        <v>0</v>
      </c>
      <c r="BR27">
        <f>IF(COUNTIF(HolShownDate,AD27)&gt;0,1,0)</f>
        <v>0</v>
      </c>
      <c r="BS27">
        <f>IF(COUNTIF(HolShownDate,AE27)&gt;0,1,0)</f>
        <v>0</v>
      </c>
      <c r="BT27">
        <f>IF(COUNTIF(HolShownDate,AF27)&gt;0,1,0)</f>
        <v>0</v>
      </c>
    </row>
    <row r="28" spans="2:72" x14ac:dyDescent="0.25">
      <c r="B28" s="14">
        <f>DATE(CalYear,9,1)-WEEKDAY(DATE(CalYear,9,1),WeekType)+1+14</f>
        <v>46643</v>
      </c>
      <c r="C28" s="14">
        <f>DATE(CalYear,9,1)-WEEKDAY(DATE(CalYear,9,1),WeekType)+1+15</f>
        <v>46644</v>
      </c>
      <c r="D28" s="14">
        <f>DATE(CalYear,9,1)-WEEKDAY(DATE(CalYear,9,1),WeekType)+1+16</f>
        <v>46645</v>
      </c>
      <c r="E28" s="14">
        <f>DATE(CalYear,9,1)-WEEKDAY(DATE(CalYear,9,1),WeekType)+1+17</f>
        <v>46646</v>
      </c>
      <c r="F28" s="14">
        <f>DATE(CalYear,9,1)-WEEKDAY(DATE(CalYear,9,1),WeekType)+1+18</f>
        <v>46647</v>
      </c>
      <c r="G28" s="14">
        <f>DATE(CalYear,9,1)-WEEKDAY(DATE(CalYear,9,1),WeekType)+1+19</f>
        <v>46648</v>
      </c>
      <c r="H28" s="14">
        <f>DATE(CalYear,9,1)-WEEKDAY(DATE(CalYear,9,1),WeekType)+1+20</f>
        <v>46649</v>
      </c>
      <c r="J28" s="14">
        <f>DATE(CalYear,10,1)-WEEKDAY(DATE(CalYear,10,1),WeekType)+1+14</f>
        <v>46671</v>
      </c>
      <c r="K28" s="14">
        <f>DATE(CalYear,10,1)-WEEKDAY(DATE(CalYear,10,1),WeekType)+1+15</f>
        <v>46672</v>
      </c>
      <c r="L28" s="14">
        <f>DATE(CalYear,10,1)-WEEKDAY(DATE(CalYear,10,1),WeekType)+1+16</f>
        <v>46673</v>
      </c>
      <c r="M28" s="14">
        <f>DATE(CalYear,10,1)-WEEKDAY(DATE(CalYear,10,1),WeekType)+1+17</f>
        <v>46674</v>
      </c>
      <c r="N28" s="14">
        <f>DATE(CalYear,10,1)-WEEKDAY(DATE(CalYear,10,1),WeekType)+1+18</f>
        <v>46675</v>
      </c>
      <c r="O28" s="14">
        <f>DATE(CalYear,10,1)-WEEKDAY(DATE(CalYear,10,1),WeekType)+1+19</f>
        <v>46676</v>
      </c>
      <c r="P28" s="14">
        <f>DATE(CalYear,10,1)-WEEKDAY(DATE(CalYear,10,1),WeekType)+1+20</f>
        <v>46677</v>
      </c>
      <c r="R28" s="14">
        <f>DATE(CalYear,11,1)-WEEKDAY(DATE(CalYear,11,1),WeekType)+1+14</f>
        <v>46706</v>
      </c>
      <c r="S28" s="14">
        <f>DATE(CalYear,11,1)-WEEKDAY(DATE(CalYear,11,1),WeekType)+1+15</f>
        <v>46707</v>
      </c>
      <c r="T28" s="14">
        <f>DATE(CalYear,11,1)-WEEKDAY(DATE(CalYear,11,1),WeekType)+1+16</f>
        <v>46708</v>
      </c>
      <c r="U28" s="14">
        <f>DATE(CalYear,11,1)-WEEKDAY(DATE(CalYear,11,1),WeekType)+1+17</f>
        <v>46709</v>
      </c>
      <c r="V28" s="14">
        <f>DATE(CalYear,11,1)-WEEKDAY(DATE(CalYear,11,1),WeekType)+1+18</f>
        <v>46710</v>
      </c>
      <c r="W28" s="14">
        <f>DATE(CalYear,11,1)-WEEKDAY(DATE(CalYear,11,1),WeekType)+1+19</f>
        <v>46711</v>
      </c>
      <c r="X28" s="14">
        <f>DATE(CalYear,11,1)-WEEKDAY(DATE(CalYear,11,1),WeekType)+1+20</f>
        <v>46712</v>
      </c>
      <c r="Z28" s="14">
        <f>DATE(CalYear,12,1)-WEEKDAY(DATE(CalYear,12,1),WeekType)+1+14</f>
        <v>46734</v>
      </c>
      <c r="AA28" s="14">
        <f>DATE(CalYear,12,1)-WEEKDAY(DATE(CalYear,12,1),WeekType)+1+15</f>
        <v>46735</v>
      </c>
      <c r="AB28" s="14">
        <f>DATE(CalYear,12,1)-WEEKDAY(DATE(CalYear,12,1),WeekType)+1+16</f>
        <v>46736</v>
      </c>
      <c r="AC28" s="14">
        <f>DATE(CalYear,12,1)-WEEKDAY(DATE(CalYear,12,1),WeekType)+1+17</f>
        <v>46737</v>
      </c>
      <c r="AD28" s="14">
        <f>DATE(CalYear,12,1)-WEEKDAY(DATE(CalYear,12,1),WeekType)+1+18</f>
        <v>46738</v>
      </c>
      <c r="AE28" s="14">
        <f>DATE(CalYear,12,1)-WEEKDAY(DATE(CalYear,12,1),WeekType)+1+19</f>
        <v>46739</v>
      </c>
      <c r="AF28" s="14">
        <f>DATE(CalYear,12,1)-WEEKDAY(DATE(CalYear,12,1),WeekType)+1+20</f>
        <v>46740</v>
      </c>
      <c r="AP28">
        <f>IF(COUNTIF(HolShownDate,B28)&gt;0,1,0)</f>
        <v>0</v>
      </c>
      <c r="AQ28">
        <f>IF(COUNTIF(HolShownDate,C28)&gt;0,1,0)</f>
        <v>0</v>
      </c>
      <c r="AR28">
        <f>IF(COUNTIF(HolShownDate,D28)&gt;0,1,0)</f>
        <v>0</v>
      </c>
      <c r="AS28">
        <f>IF(COUNTIF(HolShownDate,E28)&gt;0,1,0)</f>
        <v>0</v>
      </c>
      <c r="AT28">
        <f>IF(COUNTIF(HolShownDate,F28)&gt;0,1,0)</f>
        <v>0</v>
      </c>
      <c r="AU28">
        <f>IF(COUNTIF(HolShownDate,G28)&gt;0,1,0)</f>
        <v>0</v>
      </c>
      <c r="AV28">
        <f>IF(COUNTIF(HolShownDate,H28)&gt;0,1,0)</f>
        <v>0</v>
      </c>
      <c r="AX28">
        <f>IF(COUNTIF(HolShownDate,J28)&gt;0,1,0)</f>
        <v>1</v>
      </c>
      <c r="AY28">
        <f>IF(COUNTIF(HolShownDate,K28)&gt;0,1,0)</f>
        <v>0</v>
      </c>
      <c r="AZ28">
        <f>IF(COUNTIF(HolShownDate,L28)&gt;0,1,0)</f>
        <v>0</v>
      </c>
      <c r="BA28">
        <f>IF(COUNTIF(HolShownDate,M28)&gt;0,1,0)</f>
        <v>0</v>
      </c>
      <c r="BB28">
        <f>IF(COUNTIF(HolShownDate,N28)&gt;0,1,0)</f>
        <v>0</v>
      </c>
      <c r="BC28">
        <f>IF(COUNTIF(HolShownDate,O28)&gt;0,1,0)</f>
        <v>0</v>
      </c>
      <c r="BD28">
        <f>IF(COUNTIF(HolShownDate,P28)&gt;0,1,0)</f>
        <v>0</v>
      </c>
      <c r="BF28">
        <f>IF(COUNTIF(HolShownDate,R28)&gt;0,1,0)</f>
        <v>0</v>
      </c>
      <c r="BG28">
        <f>IF(COUNTIF(HolShownDate,S28)&gt;0,1,0)</f>
        <v>0</v>
      </c>
      <c r="BH28">
        <f>IF(COUNTIF(HolShownDate,T28)&gt;0,1,0)</f>
        <v>0</v>
      </c>
      <c r="BI28">
        <f>IF(COUNTIF(HolShownDate,U28)&gt;0,1,0)</f>
        <v>0</v>
      </c>
      <c r="BJ28">
        <f>IF(COUNTIF(HolShownDate,V28)&gt;0,1,0)</f>
        <v>0</v>
      </c>
      <c r="BK28">
        <f>IF(COUNTIF(HolShownDate,W28)&gt;0,1,0)</f>
        <v>0</v>
      </c>
      <c r="BL28">
        <f>IF(COUNTIF(HolShownDate,X28)&gt;0,1,0)</f>
        <v>0</v>
      </c>
      <c r="BN28">
        <f>IF(COUNTIF(HolShownDate,Z28)&gt;0,1,0)</f>
        <v>0</v>
      </c>
      <c r="BO28">
        <f>IF(COUNTIF(HolShownDate,AA28)&gt;0,1,0)</f>
        <v>0</v>
      </c>
      <c r="BP28">
        <f>IF(COUNTIF(HolShownDate,AB28)&gt;0,1,0)</f>
        <v>0</v>
      </c>
      <c r="BQ28">
        <f>IF(COUNTIF(HolShownDate,AC28)&gt;0,1,0)</f>
        <v>0</v>
      </c>
      <c r="BR28">
        <f>IF(COUNTIF(HolShownDate,AD28)&gt;0,1,0)</f>
        <v>0</v>
      </c>
      <c r="BS28">
        <f>IF(COUNTIF(HolShownDate,AE28)&gt;0,1,0)</f>
        <v>0</v>
      </c>
      <c r="BT28">
        <f>IF(COUNTIF(HolShownDate,AF28)&gt;0,1,0)</f>
        <v>0</v>
      </c>
    </row>
    <row r="29" spans="2:72" x14ac:dyDescent="0.25">
      <c r="B29" s="14">
        <f>DATE(CalYear,9,1)-WEEKDAY(DATE(CalYear,9,1),WeekType)+1+21</f>
        <v>46650</v>
      </c>
      <c r="C29" s="14">
        <f>DATE(CalYear,9,1)-WEEKDAY(DATE(CalYear,9,1),WeekType)+1+22</f>
        <v>46651</v>
      </c>
      <c r="D29" s="14">
        <f>DATE(CalYear,9,1)-WEEKDAY(DATE(CalYear,9,1),WeekType)+1+23</f>
        <v>46652</v>
      </c>
      <c r="E29" s="14">
        <f>DATE(CalYear,9,1)-WEEKDAY(DATE(CalYear,9,1),WeekType)+1+24</f>
        <v>46653</v>
      </c>
      <c r="F29" s="14">
        <f>DATE(CalYear,9,1)-WEEKDAY(DATE(CalYear,9,1),WeekType)+1+25</f>
        <v>46654</v>
      </c>
      <c r="G29" s="14">
        <f>DATE(CalYear,9,1)-WEEKDAY(DATE(CalYear,9,1),WeekType)+1+26</f>
        <v>46655</v>
      </c>
      <c r="H29" s="14">
        <f>DATE(CalYear,9,1)-WEEKDAY(DATE(CalYear,9,1),WeekType)+1+27</f>
        <v>46656</v>
      </c>
      <c r="J29" s="14">
        <f>DATE(CalYear,10,1)-WEEKDAY(DATE(CalYear,10,1),WeekType)+1+21</f>
        <v>46678</v>
      </c>
      <c r="K29" s="14">
        <f>DATE(CalYear,10,1)-WEEKDAY(DATE(CalYear,10,1),WeekType)+1+22</f>
        <v>46679</v>
      </c>
      <c r="L29" s="14">
        <f>DATE(CalYear,10,1)-WEEKDAY(DATE(CalYear,10,1),WeekType)+1+23</f>
        <v>46680</v>
      </c>
      <c r="M29" s="14">
        <f>DATE(CalYear,10,1)-WEEKDAY(DATE(CalYear,10,1),WeekType)+1+24</f>
        <v>46681</v>
      </c>
      <c r="N29" s="14">
        <f>DATE(CalYear,10,1)-WEEKDAY(DATE(CalYear,10,1),WeekType)+1+25</f>
        <v>46682</v>
      </c>
      <c r="O29" s="14">
        <f>DATE(CalYear,10,1)-WEEKDAY(DATE(CalYear,10,1),WeekType)+1+26</f>
        <v>46683</v>
      </c>
      <c r="P29" s="14">
        <f>DATE(CalYear,10,1)-WEEKDAY(DATE(CalYear,10,1),WeekType)+1+27</f>
        <v>46684</v>
      </c>
      <c r="R29" s="14">
        <f>DATE(CalYear,11,1)-WEEKDAY(DATE(CalYear,11,1),WeekType)+1+21</f>
        <v>46713</v>
      </c>
      <c r="S29" s="14">
        <f>DATE(CalYear,11,1)-WEEKDAY(DATE(CalYear,11,1),WeekType)+1+22</f>
        <v>46714</v>
      </c>
      <c r="T29" s="14">
        <f>DATE(CalYear,11,1)-WEEKDAY(DATE(CalYear,11,1),WeekType)+1+23</f>
        <v>46715</v>
      </c>
      <c r="U29" s="14">
        <f>DATE(CalYear,11,1)-WEEKDAY(DATE(CalYear,11,1),WeekType)+1+24</f>
        <v>46716</v>
      </c>
      <c r="V29" s="14">
        <f>DATE(CalYear,11,1)-WEEKDAY(DATE(CalYear,11,1),WeekType)+1+25</f>
        <v>46717</v>
      </c>
      <c r="W29" s="14">
        <f>DATE(CalYear,11,1)-WEEKDAY(DATE(CalYear,11,1),WeekType)+1+26</f>
        <v>46718</v>
      </c>
      <c r="X29" s="14">
        <f>DATE(CalYear,11,1)-WEEKDAY(DATE(CalYear,11,1),WeekType)+1+27</f>
        <v>46719</v>
      </c>
      <c r="Z29" s="14">
        <f>DATE(CalYear,12,1)-WEEKDAY(DATE(CalYear,12,1),WeekType)+1+21</f>
        <v>46741</v>
      </c>
      <c r="AA29" s="14">
        <f>DATE(CalYear,12,1)-WEEKDAY(DATE(CalYear,12,1),WeekType)+1+22</f>
        <v>46742</v>
      </c>
      <c r="AB29" s="14">
        <f>DATE(CalYear,12,1)-WEEKDAY(DATE(CalYear,12,1),WeekType)+1+23</f>
        <v>46743</v>
      </c>
      <c r="AC29" s="14">
        <f>DATE(CalYear,12,1)-WEEKDAY(DATE(CalYear,12,1),WeekType)+1+24</f>
        <v>46744</v>
      </c>
      <c r="AD29" s="14">
        <f>DATE(CalYear,12,1)-WEEKDAY(DATE(CalYear,12,1),WeekType)+1+25</f>
        <v>46745</v>
      </c>
      <c r="AE29" s="14">
        <f>DATE(CalYear,12,1)-WEEKDAY(DATE(CalYear,12,1),WeekType)+1+26</f>
        <v>46746</v>
      </c>
      <c r="AF29" s="14">
        <f>DATE(CalYear,12,1)-WEEKDAY(DATE(CalYear,12,1),WeekType)+1+27</f>
        <v>46747</v>
      </c>
      <c r="AP29">
        <f>IF(COUNTIF(HolShownDate,B29)&gt;0,1,0)</f>
        <v>0</v>
      </c>
      <c r="AQ29">
        <f>IF(COUNTIF(HolShownDate,C29)&gt;0,1,0)</f>
        <v>0</v>
      </c>
      <c r="AR29">
        <f>IF(COUNTIF(HolShownDate,D29)&gt;0,1,0)</f>
        <v>0</v>
      </c>
      <c r="AS29">
        <f>IF(COUNTIF(HolShownDate,E29)&gt;0,1,0)</f>
        <v>0</v>
      </c>
      <c r="AT29">
        <f>IF(COUNTIF(HolShownDate,F29)&gt;0,1,0)</f>
        <v>0</v>
      </c>
      <c r="AU29">
        <f>IF(COUNTIF(HolShownDate,G29)&gt;0,1,0)</f>
        <v>0</v>
      </c>
      <c r="AV29">
        <f>IF(COUNTIF(HolShownDate,H29)&gt;0,1,0)</f>
        <v>0</v>
      </c>
      <c r="AX29">
        <f>IF(COUNTIF(HolShownDate,J29)&gt;0,1,0)</f>
        <v>0</v>
      </c>
      <c r="AY29">
        <f>IF(COUNTIF(HolShownDate,K29)&gt;0,1,0)</f>
        <v>0</v>
      </c>
      <c r="AZ29">
        <f>IF(COUNTIF(HolShownDate,L29)&gt;0,1,0)</f>
        <v>0</v>
      </c>
      <c r="BA29">
        <f>IF(COUNTIF(HolShownDate,M29)&gt;0,1,0)</f>
        <v>0</v>
      </c>
      <c r="BB29">
        <f>IF(COUNTIF(HolShownDate,N29)&gt;0,1,0)</f>
        <v>0</v>
      </c>
      <c r="BC29">
        <f>IF(COUNTIF(HolShownDate,O29)&gt;0,1,0)</f>
        <v>0</v>
      </c>
      <c r="BD29">
        <f>IF(COUNTIF(HolShownDate,P29)&gt;0,1,0)</f>
        <v>0</v>
      </c>
      <c r="BF29">
        <f>IF(COUNTIF(HolShownDate,R29)&gt;0,1,0)</f>
        <v>0</v>
      </c>
      <c r="BG29">
        <f>IF(COUNTIF(HolShownDate,S29)&gt;0,1,0)</f>
        <v>0</v>
      </c>
      <c r="BH29">
        <f>IF(COUNTIF(HolShownDate,T29)&gt;0,1,0)</f>
        <v>0</v>
      </c>
      <c r="BI29">
        <f>IF(COUNTIF(HolShownDate,U29)&gt;0,1,0)</f>
        <v>1</v>
      </c>
      <c r="BJ29">
        <f>IF(COUNTIF(HolShownDate,V29)&gt;0,1,0)</f>
        <v>0</v>
      </c>
      <c r="BK29">
        <f>IF(COUNTIF(HolShownDate,W29)&gt;0,1,0)</f>
        <v>0</v>
      </c>
      <c r="BL29">
        <f>IF(COUNTIF(HolShownDate,X29)&gt;0,1,0)</f>
        <v>0</v>
      </c>
      <c r="BN29">
        <f>IF(COUNTIF(HolShownDate,Z29)&gt;0,1,0)</f>
        <v>0</v>
      </c>
      <c r="BO29">
        <f>IF(COUNTIF(HolShownDate,AA29)&gt;0,1,0)</f>
        <v>0</v>
      </c>
      <c r="BP29">
        <f>IF(COUNTIF(HolShownDate,AB29)&gt;0,1,0)</f>
        <v>0</v>
      </c>
      <c r="BQ29">
        <f>IF(COUNTIF(HolShownDate,AC29)&gt;0,1,0)</f>
        <v>0</v>
      </c>
      <c r="BR29">
        <f>IF(COUNTIF(HolShownDate,AD29)&gt;0,1,0)</f>
        <v>1</v>
      </c>
      <c r="BS29">
        <f>IF(COUNTIF(HolShownDate,AE29)&gt;0,1,0)</f>
        <v>1</v>
      </c>
      <c r="BT29">
        <f>IF(COUNTIF(HolShownDate,AF29)&gt;0,1,0)</f>
        <v>0</v>
      </c>
    </row>
    <row r="30" spans="2:72" x14ac:dyDescent="0.25">
      <c r="B30" s="14">
        <f>DATE(CalYear,9,1)-WEEKDAY(DATE(CalYear,9,1),WeekType)+1+28</f>
        <v>46657</v>
      </c>
      <c r="C30" s="14">
        <f>DATE(CalYear,9,1)-WEEKDAY(DATE(CalYear,9,1),WeekType)+1+29</f>
        <v>46658</v>
      </c>
      <c r="D30" s="14">
        <f>DATE(CalYear,9,1)-WEEKDAY(DATE(CalYear,9,1),WeekType)+1+30</f>
        <v>46659</v>
      </c>
      <c r="E30" s="14">
        <f>DATE(CalYear,9,1)-WEEKDAY(DATE(CalYear,9,1),WeekType)+1+31</f>
        <v>46660</v>
      </c>
      <c r="F30" s="14">
        <f>DATE(CalYear,9,1)-WEEKDAY(DATE(CalYear,9,1),WeekType)+1+32</f>
        <v>46661</v>
      </c>
      <c r="G30" s="14">
        <f>DATE(CalYear,9,1)-WEEKDAY(DATE(CalYear,9,1),WeekType)+1+33</f>
        <v>46662</v>
      </c>
      <c r="H30" s="14">
        <f>DATE(CalYear,9,1)-WEEKDAY(DATE(CalYear,9,1),WeekType)+1+34</f>
        <v>46663</v>
      </c>
      <c r="J30" s="14">
        <f>DATE(CalYear,10,1)-WEEKDAY(DATE(CalYear,10,1),WeekType)+1+28</f>
        <v>46685</v>
      </c>
      <c r="K30" s="14">
        <f>DATE(CalYear,10,1)-WEEKDAY(DATE(CalYear,10,1),WeekType)+1+29</f>
        <v>46686</v>
      </c>
      <c r="L30" s="14">
        <f>DATE(CalYear,10,1)-WEEKDAY(DATE(CalYear,10,1),WeekType)+1+30</f>
        <v>46687</v>
      </c>
      <c r="M30" s="14">
        <f>DATE(CalYear,10,1)-WEEKDAY(DATE(CalYear,10,1),WeekType)+1+31</f>
        <v>46688</v>
      </c>
      <c r="N30" s="14">
        <f>DATE(CalYear,10,1)-WEEKDAY(DATE(CalYear,10,1),WeekType)+1+32</f>
        <v>46689</v>
      </c>
      <c r="O30" s="14">
        <f>DATE(CalYear,10,1)-WEEKDAY(DATE(CalYear,10,1),WeekType)+1+33</f>
        <v>46690</v>
      </c>
      <c r="P30" s="14">
        <f>DATE(CalYear,10,1)-WEEKDAY(DATE(CalYear,10,1),WeekType)+1+34</f>
        <v>46691</v>
      </c>
      <c r="R30" s="14">
        <f>DATE(CalYear,11,1)-WEEKDAY(DATE(CalYear,11,1),WeekType)+1+28</f>
        <v>46720</v>
      </c>
      <c r="S30" s="14">
        <f>DATE(CalYear,11,1)-WEEKDAY(DATE(CalYear,11,1),WeekType)+1+29</f>
        <v>46721</v>
      </c>
      <c r="T30" s="14">
        <f>DATE(CalYear,11,1)-WEEKDAY(DATE(CalYear,11,1),WeekType)+1+30</f>
        <v>46722</v>
      </c>
      <c r="U30" s="14">
        <f>DATE(CalYear,11,1)-WEEKDAY(DATE(CalYear,11,1),WeekType)+1+31</f>
        <v>46723</v>
      </c>
      <c r="V30" s="14">
        <f>DATE(CalYear,11,1)-WEEKDAY(DATE(CalYear,11,1),WeekType)+1+32</f>
        <v>46724</v>
      </c>
      <c r="W30" s="14">
        <f>DATE(CalYear,11,1)-WEEKDAY(DATE(CalYear,11,1),WeekType)+1+33</f>
        <v>46725</v>
      </c>
      <c r="X30" s="14">
        <f>DATE(CalYear,11,1)-WEEKDAY(DATE(CalYear,11,1),WeekType)+1+34</f>
        <v>46726</v>
      </c>
      <c r="Z30" s="14">
        <f>DATE(CalYear,12,1)-WEEKDAY(DATE(CalYear,12,1),WeekType)+1+28</f>
        <v>46748</v>
      </c>
      <c r="AA30" s="14">
        <f>DATE(CalYear,12,1)-WEEKDAY(DATE(CalYear,12,1),WeekType)+1+29</f>
        <v>46749</v>
      </c>
      <c r="AB30" s="14">
        <f>DATE(CalYear,12,1)-WEEKDAY(DATE(CalYear,12,1),WeekType)+1+30</f>
        <v>46750</v>
      </c>
      <c r="AC30" s="14">
        <f>DATE(CalYear,12,1)-WEEKDAY(DATE(CalYear,12,1),WeekType)+1+31</f>
        <v>46751</v>
      </c>
      <c r="AD30" s="14">
        <f>DATE(CalYear,12,1)-WEEKDAY(DATE(CalYear,12,1),WeekType)+1+32</f>
        <v>46752</v>
      </c>
      <c r="AE30" s="14">
        <f>DATE(CalYear,12,1)-WEEKDAY(DATE(CalYear,12,1),WeekType)+1+33</f>
        <v>46753</v>
      </c>
      <c r="AF30" s="14">
        <f>DATE(CalYear,12,1)-WEEKDAY(DATE(CalYear,12,1),WeekType)+1+34</f>
        <v>46754</v>
      </c>
      <c r="AP30">
        <f>IF(COUNTIF(HolShownDate,B30)&gt;0,1,0)</f>
        <v>0</v>
      </c>
      <c r="AQ30">
        <f>IF(COUNTIF(HolShownDate,C30)&gt;0,1,0)</f>
        <v>0</v>
      </c>
      <c r="AR30">
        <f>IF(COUNTIF(HolShownDate,D30)&gt;0,1,0)</f>
        <v>0</v>
      </c>
      <c r="AS30">
        <f>IF(COUNTIF(HolShownDate,E30)&gt;0,1,0)</f>
        <v>0</v>
      </c>
      <c r="AT30">
        <f>IF(COUNTIF(HolShownDate,F30)&gt;0,1,0)</f>
        <v>0</v>
      </c>
      <c r="AU30">
        <f>IF(COUNTIF(HolShownDate,G30)&gt;0,1,0)</f>
        <v>0</v>
      </c>
      <c r="AV30">
        <f>IF(COUNTIF(HolShownDate,H30)&gt;0,1,0)</f>
        <v>0</v>
      </c>
      <c r="AX30">
        <f>IF(COUNTIF(HolShownDate,J30)&gt;0,1,0)</f>
        <v>0</v>
      </c>
      <c r="AY30">
        <f>IF(COUNTIF(HolShownDate,K30)&gt;0,1,0)</f>
        <v>0</v>
      </c>
      <c r="AZ30">
        <f>IF(COUNTIF(HolShownDate,L30)&gt;0,1,0)</f>
        <v>0</v>
      </c>
      <c r="BA30">
        <f>IF(COUNTIF(HolShownDate,M30)&gt;0,1,0)</f>
        <v>0</v>
      </c>
      <c r="BB30">
        <f>IF(COUNTIF(HolShownDate,N30)&gt;0,1,0)</f>
        <v>0</v>
      </c>
      <c r="BC30">
        <f>IF(COUNTIF(HolShownDate,O30)&gt;0,1,0)</f>
        <v>0</v>
      </c>
      <c r="BD30">
        <f>IF(COUNTIF(HolShownDate,P30)&gt;0,1,0)</f>
        <v>0</v>
      </c>
      <c r="BF30">
        <f>IF(COUNTIF(HolShownDate,R30)&gt;0,1,0)</f>
        <v>0</v>
      </c>
      <c r="BG30">
        <f>IF(COUNTIF(HolShownDate,S30)&gt;0,1,0)</f>
        <v>0</v>
      </c>
      <c r="BH30">
        <f>IF(COUNTIF(HolShownDate,T30)&gt;0,1,0)</f>
        <v>0</v>
      </c>
      <c r="BI30">
        <f>IF(COUNTIF(HolShownDate,U30)&gt;0,1,0)</f>
        <v>0</v>
      </c>
      <c r="BJ30">
        <f>IF(COUNTIF(HolShownDate,V30)&gt;0,1,0)</f>
        <v>0</v>
      </c>
      <c r="BK30">
        <f>IF(COUNTIF(HolShownDate,W30)&gt;0,1,0)</f>
        <v>0</v>
      </c>
      <c r="BL30">
        <f>IF(COUNTIF(HolShownDate,X30)&gt;0,1,0)</f>
        <v>0</v>
      </c>
      <c r="BN30">
        <f>IF(COUNTIF(HolShownDate,Z30)&gt;0,1,0)</f>
        <v>0</v>
      </c>
      <c r="BO30">
        <f>IF(COUNTIF(HolShownDate,AA30)&gt;0,1,0)</f>
        <v>0</v>
      </c>
      <c r="BP30">
        <f>IF(COUNTIF(HolShownDate,AB30)&gt;0,1,0)</f>
        <v>0</v>
      </c>
      <c r="BQ30">
        <f>IF(COUNTIF(HolShownDate,AC30)&gt;0,1,0)</f>
        <v>0</v>
      </c>
      <c r="BR30">
        <f>IF(COUNTIF(HolShownDate,AD30)&gt;0,1,0)</f>
        <v>1</v>
      </c>
      <c r="BS30">
        <f>IF(COUNTIF(HolShownDate,AE30)&gt;0,1,0)</f>
        <v>0</v>
      </c>
      <c r="BT30">
        <f>IF(COUNTIF(HolShownDate,AF30)&gt;0,1,0)</f>
        <v>0</v>
      </c>
    </row>
    <row r="31" spans="2:72" x14ac:dyDescent="0.25">
      <c r="B31" s="14">
        <f>DATE(CalYear,9,1)-WEEKDAY(DATE(CalYear,9,1),WeekType)+1+35</f>
        <v>46664</v>
      </c>
      <c r="C31" s="14">
        <f>DATE(CalYear,9,1)-WEEKDAY(DATE(CalYear,9,1),WeekType)+1+36</f>
        <v>46665</v>
      </c>
      <c r="D31" s="14">
        <f>DATE(CalYear,9,1)-WEEKDAY(DATE(CalYear,9,1),WeekType)+1+37</f>
        <v>46666</v>
      </c>
      <c r="E31" s="14">
        <f>DATE(CalYear,9,1)-WEEKDAY(DATE(CalYear,9,1),WeekType)+1+38</f>
        <v>46667</v>
      </c>
      <c r="F31" s="14">
        <f>DATE(CalYear,9,1)-WEEKDAY(DATE(CalYear,9,1),WeekType)+1+39</f>
        <v>46668</v>
      </c>
      <c r="G31" s="14">
        <f>DATE(CalYear,9,1)-WEEKDAY(DATE(CalYear,9,1),WeekType)+1+40</f>
        <v>46669</v>
      </c>
      <c r="H31" s="14">
        <f>DATE(CalYear,9,1)-WEEKDAY(DATE(CalYear,9,1),WeekType)+1+41</f>
        <v>46670</v>
      </c>
      <c r="J31" s="14">
        <f>DATE(CalYear,10,1)-WEEKDAY(DATE(CalYear,10,1),WeekType)+1+35</f>
        <v>46692</v>
      </c>
      <c r="K31" s="14">
        <f>DATE(CalYear,10,1)-WEEKDAY(DATE(CalYear,10,1),WeekType)+1+36</f>
        <v>46693</v>
      </c>
      <c r="L31" s="14">
        <f>DATE(CalYear,10,1)-WEEKDAY(DATE(CalYear,10,1),WeekType)+1+37</f>
        <v>46694</v>
      </c>
      <c r="M31" s="14">
        <f>DATE(CalYear,10,1)-WEEKDAY(DATE(CalYear,10,1),WeekType)+1+38</f>
        <v>46695</v>
      </c>
      <c r="N31" s="14">
        <f>DATE(CalYear,10,1)-WEEKDAY(DATE(CalYear,10,1),WeekType)+1+39</f>
        <v>46696</v>
      </c>
      <c r="O31" s="14">
        <f>DATE(CalYear,10,1)-WEEKDAY(DATE(CalYear,10,1),WeekType)+1+40</f>
        <v>46697</v>
      </c>
      <c r="P31" s="14">
        <f>DATE(CalYear,10,1)-WEEKDAY(DATE(CalYear,10,1),WeekType)+1+41</f>
        <v>46698</v>
      </c>
      <c r="R31" s="14">
        <f>DATE(CalYear,11,1)-WEEKDAY(DATE(CalYear,11,1),WeekType)+1+35</f>
        <v>46727</v>
      </c>
      <c r="S31" s="14">
        <f>DATE(CalYear,11,1)-WEEKDAY(DATE(CalYear,11,1),WeekType)+1+36</f>
        <v>46728</v>
      </c>
      <c r="T31" s="14">
        <f>DATE(CalYear,11,1)-WEEKDAY(DATE(CalYear,11,1),WeekType)+1+37</f>
        <v>46729</v>
      </c>
      <c r="U31" s="14">
        <f>DATE(CalYear,11,1)-WEEKDAY(DATE(CalYear,11,1),WeekType)+1+38</f>
        <v>46730</v>
      </c>
      <c r="V31" s="14">
        <f>DATE(CalYear,11,1)-WEEKDAY(DATE(CalYear,11,1),WeekType)+1+39</f>
        <v>46731</v>
      </c>
      <c r="W31" s="14">
        <f>DATE(CalYear,11,1)-WEEKDAY(DATE(CalYear,11,1),WeekType)+1+40</f>
        <v>46732</v>
      </c>
      <c r="X31" s="14">
        <f>DATE(CalYear,11,1)-WEEKDAY(DATE(CalYear,11,1),WeekType)+1+41</f>
        <v>46733</v>
      </c>
      <c r="Z31" s="14">
        <f>DATE(CalYear,12,1)-WEEKDAY(DATE(CalYear,12,1),WeekType)+1+35</f>
        <v>46755</v>
      </c>
      <c r="AA31" s="14">
        <f>DATE(CalYear,12,1)-WEEKDAY(DATE(CalYear,12,1),WeekType)+1+36</f>
        <v>46756</v>
      </c>
      <c r="AB31" s="14">
        <f>DATE(CalYear,12,1)-WEEKDAY(DATE(CalYear,12,1),WeekType)+1+37</f>
        <v>46757</v>
      </c>
      <c r="AC31" s="14">
        <f>DATE(CalYear,12,1)-WEEKDAY(DATE(CalYear,12,1),WeekType)+1+38</f>
        <v>46758</v>
      </c>
      <c r="AD31" s="14">
        <f>DATE(CalYear,12,1)-WEEKDAY(DATE(CalYear,12,1),WeekType)+1+39</f>
        <v>46759</v>
      </c>
      <c r="AE31" s="14">
        <f>DATE(CalYear,12,1)-WEEKDAY(DATE(CalYear,12,1),WeekType)+1+40</f>
        <v>46760</v>
      </c>
      <c r="AF31" s="14">
        <f>DATE(CalYear,12,1)-WEEKDAY(DATE(CalYear,12,1),WeekType)+1+41</f>
        <v>46761</v>
      </c>
      <c r="AP31">
        <f>IF(COUNTIF(HolShownDate,B31)&gt;0,1,0)</f>
        <v>0</v>
      </c>
      <c r="AQ31">
        <f>IF(COUNTIF(HolShownDate,C31)&gt;0,1,0)</f>
        <v>0</v>
      </c>
      <c r="AR31">
        <f>IF(COUNTIF(HolShownDate,D31)&gt;0,1,0)</f>
        <v>0</v>
      </c>
      <c r="AS31">
        <f>IF(COUNTIF(HolShownDate,E31)&gt;0,1,0)</f>
        <v>0</v>
      </c>
      <c r="AT31">
        <f>IF(COUNTIF(HolShownDate,F31)&gt;0,1,0)</f>
        <v>0</v>
      </c>
      <c r="AU31">
        <f>IF(COUNTIF(HolShownDate,G31)&gt;0,1,0)</f>
        <v>0</v>
      </c>
      <c r="AV31">
        <f>IF(COUNTIF(HolShownDate,H31)&gt;0,1,0)</f>
        <v>0</v>
      </c>
      <c r="AX31">
        <f>IF(COUNTIF(HolShownDate,J31)&gt;0,1,0)</f>
        <v>0</v>
      </c>
      <c r="AY31">
        <f>IF(COUNTIF(HolShownDate,K31)&gt;0,1,0)</f>
        <v>0</v>
      </c>
      <c r="AZ31">
        <f>IF(COUNTIF(HolShownDate,L31)&gt;0,1,0)</f>
        <v>0</v>
      </c>
      <c r="BA31">
        <f>IF(COUNTIF(HolShownDate,M31)&gt;0,1,0)</f>
        <v>0</v>
      </c>
      <c r="BB31">
        <f>IF(COUNTIF(HolShownDate,N31)&gt;0,1,0)</f>
        <v>0</v>
      </c>
      <c r="BC31">
        <f>IF(COUNTIF(HolShownDate,O31)&gt;0,1,0)</f>
        <v>0</v>
      </c>
      <c r="BD31">
        <f>IF(COUNTIF(HolShownDate,P31)&gt;0,1,0)</f>
        <v>0</v>
      </c>
      <c r="BF31">
        <f>IF(COUNTIF(HolShownDate,R31)&gt;0,1,0)</f>
        <v>0</v>
      </c>
      <c r="BG31">
        <f>IF(COUNTIF(HolShownDate,S31)&gt;0,1,0)</f>
        <v>0</v>
      </c>
      <c r="BH31">
        <f>IF(COUNTIF(HolShownDate,T31)&gt;0,1,0)</f>
        <v>0</v>
      </c>
      <c r="BI31">
        <f>IF(COUNTIF(HolShownDate,U31)&gt;0,1,0)</f>
        <v>0</v>
      </c>
      <c r="BJ31">
        <f>IF(COUNTIF(HolShownDate,V31)&gt;0,1,0)</f>
        <v>0</v>
      </c>
      <c r="BK31">
        <f>IF(COUNTIF(HolShownDate,W31)&gt;0,1,0)</f>
        <v>0</v>
      </c>
      <c r="BL31">
        <f>IF(COUNTIF(HolShownDate,X31)&gt;0,1,0)</f>
        <v>0</v>
      </c>
      <c r="BN31">
        <f>IF(COUNTIF(HolShownDate,Z31)&gt;0,1,0)</f>
        <v>0</v>
      </c>
      <c r="BO31">
        <f>IF(COUNTIF(HolShownDate,AA31)&gt;0,1,0)</f>
        <v>0</v>
      </c>
      <c r="BP31">
        <f>IF(COUNTIF(HolShownDate,AB31)&gt;0,1,0)</f>
        <v>0</v>
      </c>
      <c r="BQ31">
        <f>IF(COUNTIF(HolShownDate,AC31)&gt;0,1,0)</f>
        <v>0</v>
      </c>
      <c r="BR31">
        <f>IF(COUNTIF(HolShownDate,AD31)&gt;0,1,0)</f>
        <v>0</v>
      </c>
      <c r="BS31">
        <f>IF(COUNTIF(HolShownDate,AE31)&gt;0,1,0)</f>
        <v>0</v>
      </c>
      <c r="BT31">
        <f>IF(COUNTIF(HolShownDate,AF31)&gt;0,1,0)</f>
        <v>0</v>
      </c>
    </row>
    <row r="34" spans="2:8" x14ac:dyDescent="0.25">
      <c r="B34" s="15"/>
      <c r="C34" s="16" t="s">
        <v>21</v>
      </c>
      <c r="G34" s="17"/>
      <c r="H34" s="16" t="s">
        <v>22</v>
      </c>
    </row>
  </sheetData>
  <mergeCells count="13">
    <mergeCell ref="B2:H2"/>
    <mergeCell ref="B4:H4"/>
    <mergeCell ref="J4:P4"/>
    <mergeCell ref="R4:X4"/>
    <mergeCell ref="Z4:AF4"/>
    <mergeCell ref="B14:H14"/>
    <mergeCell ref="J14:P14"/>
    <mergeCell ref="R14:X14"/>
    <mergeCell ref="Z14:AF14"/>
    <mergeCell ref="B24:H24"/>
    <mergeCell ref="J24:P24"/>
    <mergeCell ref="R24:X24"/>
    <mergeCell ref="Z24:AF24"/>
  </mergeCells>
  <conditionalFormatting sqref="B6:H6">
    <cfRule type="expression" dxfId="0" priority="1">
      <formula>MONTH(B6)&lt;&gt;1</formula>
    </cfRule>
  </conditionalFormatting>
  <conditionalFormatting sqref="B6:H6">
    <cfRule type="expression" dxfId="1" priority="2">
      <formula>B6=TODAY()</formula>
    </cfRule>
  </conditionalFormatting>
  <conditionalFormatting sqref="B6:H6">
    <cfRule type="expression" dxfId="2" priority="3">
      <formula>AP6=1</formula>
    </cfRule>
  </conditionalFormatting>
  <conditionalFormatting sqref="B6:H6">
    <cfRule type="expression" dxfId="3" priority="4">
      <formula>WEEKDAY(B6,2)&gt;5</formula>
    </cfRule>
  </conditionalFormatting>
  <conditionalFormatting sqref="B7:H7">
    <cfRule type="expression" dxfId="4" priority="1">
      <formula>MONTH(B7)&lt;&gt;1</formula>
    </cfRule>
  </conditionalFormatting>
  <conditionalFormatting sqref="B7:H7">
    <cfRule type="expression" dxfId="5" priority="2">
      <formula>B7=TODAY()</formula>
    </cfRule>
  </conditionalFormatting>
  <conditionalFormatting sqref="B7:H7">
    <cfRule type="expression" dxfId="6" priority="3">
      <formula>AP7=1</formula>
    </cfRule>
  </conditionalFormatting>
  <conditionalFormatting sqref="B7:H7">
    <cfRule type="expression" dxfId="7" priority="4">
      <formula>WEEKDAY(B7,2)&gt;5</formula>
    </cfRule>
  </conditionalFormatting>
  <conditionalFormatting sqref="B8:H8">
    <cfRule type="expression" dxfId="8" priority="1">
      <formula>MONTH(B8)&lt;&gt;1</formula>
    </cfRule>
  </conditionalFormatting>
  <conditionalFormatting sqref="B8:H8">
    <cfRule type="expression" dxfId="9" priority="2">
      <formula>B8=TODAY()</formula>
    </cfRule>
  </conditionalFormatting>
  <conditionalFormatting sqref="B8:H8">
    <cfRule type="expression" dxfId="10" priority="3">
      <formula>AP8=1</formula>
    </cfRule>
  </conditionalFormatting>
  <conditionalFormatting sqref="B8:H8">
    <cfRule type="expression" dxfId="11" priority="4">
      <formula>WEEKDAY(B8,2)&gt;5</formula>
    </cfRule>
  </conditionalFormatting>
  <conditionalFormatting sqref="B9:H9">
    <cfRule type="expression" dxfId="12" priority="1">
      <formula>MONTH(B9)&lt;&gt;1</formula>
    </cfRule>
  </conditionalFormatting>
  <conditionalFormatting sqref="B9:H9">
    <cfRule type="expression" dxfId="13" priority="2">
      <formula>B9=TODAY()</formula>
    </cfRule>
  </conditionalFormatting>
  <conditionalFormatting sqref="B9:H9">
    <cfRule type="expression" dxfId="14" priority="3">
      <formula>AP9=1</formula>
    </cfRule>
  </conditionalFormatting>
  <conditionalFormatting sqref="B9:H9">
    <cfRule type="expression" dxfId="15" priority="4">
      <formula>WEEKDAY(B9,2)&gt;5</formula>
    </cfRule>
  </conditionalFormatting>
  <conditionalFormatting sqref="B10:H10">
    <cfRule type="expression" dxfId="16" priority="1">
      <formula>MONTH(B10)&lt;&gt;1</formula>
    </cfRule>
  </conditionalFormatting>
  <conditionalFormatting sqref="B10:H10">
    <cfRule type="expression" dxfId="17" priority="2">
      <formula>B10=TODAY()</formula>
    </cfRule>
  </conditionalFormatting>
  <conditionalFormatting sqref="B10:H10">
    <cfRule type="expression" dxfId="18" priority="3">
      <formula>AP10=1</formula>
    </cfRule>
  </conditionalFormatting>
  <conditionalFormatting sqref="B10:H10">
    <cfRule type="expression" dxfId="19" priority="4">
      <formula>WEEKDAY(B10,2)&gt;5</formula>
    </cfRule>
  </conditionalFormatting>
  <conditionalFormatting sqref="B11:H11">
    <cfRule type="expression" dxfId="20" priority="1">
      <formula>MONTH(B11)&lt;&gt;1</formula>
    </cfRule>
  </conditionalFormatting>
  <conditionalFormatting sqref="B11:H11">
    <cfRule type="expression" dxfId="21" priority="2">
      <formula>B11=TODAY()</formula>
    </cfRule>
  </conditionalFormatting>
  <conditionalFormatting sqref="B11:H11">
    <cfRule type="expression" dxfId="22" priority="3">
      <formula>AP11=1</formula>
    </cfRule>
  </conditionalFormatting>
  <conditionalFormatting sqref="B11:H11">
    <cfRule type="expression" dxfId="23" priority="4">
      <formula>WEEKDAY(B11,2)&gt;5</formula>
    </cfRule>
  </conditionalFormatting>
  <conditionalFormatting sqref="J6:P6">
    <cfRule type="expression" dxfId="24" priority="1">
      <formula>MONTH(J6)&lt;&gt;2</formula>
    </cfRule>
  </conditionalFormatting>
  <conditionalFormatting sqref="J6:P6">
    <cfRule type="expression" dxfId="25" priority="2">
      <formula>J6=TODAY()</formula>
    </cfRule>
  </conditionalFormatting>
  <conditionalFormatting sqref="J6:P6">
    <cfRule type="expression" dxfId="26" priority="3">
      <formula>AX6=1</formula>
    </cfRule>
  </conditionalFormatting>
  <conditionalFormatting sqref="J6:P6">
    <cfRule type="expression" dxfId="27" priority="4">
      <formula>WEEKDAY(J6,2)&gt;5</formula>
    </cfRule>
  </conditionalFormatting>
  <conditionalFormatting sqref="J7:P7">
    <cfRule type="expression" dxfId="28" priority="1">
      <formula>MONTH(J7)&lt;&gt;2</formula>
    </cfRule>
  </conditionalFormatting>
  <conditionalFormatting sqref="J7:P7">
    <cfRule type="expression" dxfId="29" priority="2">
      <formula>J7=TODAY()</formula>
    </cfRule>
  </conditionalFormatting>
  <conditionalFormatting sqref="J7:P7">
    <cfRule type="expression" dxfId="30" priority="3">
      <formula>AX7=1</formula>
    </cfRule>
  </conditionalFormatting>
  <conditionalFormatting sqref="J7:P7">
    <cfRule type="expression" dxfId="31" priority="4">
      <formula>WEEKDAY(J7,2)&gt;5</formula>
    </cfRule>
  </conditionalFormatting>
  <conditionalFormatting sqref="J8:P8">
    <cfRule type="expression" dxfId="32" priority="1">
      <formula>MONTH(J8)&lt;&gt;2</formula>
    </cfRule>
  </conditionalFormatting>
  <conditionalFormatting sqref="J8:P8">
    <cfRule type="expression" dxfId="33" priority="2">
      <formula>J8=TODAY()</formula>
    </cfRule>
  </conditionalFormatting>
  <conditionalFormatting sqref="J8:P8">
    <cfRule type="expression" dxfId="34" priority="3">
      <formula>AX8=1</formula>
    </cfRule>
  </conditionalFormatting>
  <conditionalFormatting sqref="J8:P8">
    <cfRule type="expression" dxfId="35" priority="4">
      <formula>WEEKDAY(J8,2)&gt;5</formula>
    </cfRule>
  </conditionalFormatting>
  <conditionalFormatting sqref="J9:P9">
    <cfRule type="expression" dxfId="36" priority="1">
      <formula>MONTH(J9)&lt;&gt;2</formula>
    </cfRule>
  </conditionalFormatting>
  <conditionalFormatting sqref="J9:P9">
    <cfRule type="expression" dxfId="37" priority="2">
      <formula>J9=TODAY()</formula>
    </cfRule>
  </conditionalFormatting>
  <conditionalFormatting sqref="J9:P9">
    <cfRule type="expression" dxfId="38" priority="3">
      <formula>AX9=1</formula>
    </cfRule>
  </conditionalFormatting>
  <conditionalFormatting sqref="J9:P9">
    <cfRule type="expression" dxfId="39" priority="4">
      <formula>WEEKDAY(J9,2)&gt;5</formula>
    </cfRule>
  </conditionalFormatting>
  <conditionalFormatting sqref="J10:P10">
    <cfRule type="expression" dxfId="40" priority="1">
      <formula>MONTH(J10)&lt;&gt;2</formula>
    </cfRule>
  </conditionalFormatting>
  <conditionalFormatting sqref="J10:P10">
    <cfRule type="expression" dxfId="41" priority="2">
      <formula>J10=TODAY()</formula>
    </cfRule>
  </conditionalFormatting>
  <conditionalFormatting sqref="J10:P10">
    <cfRule type="expression" dxfId="42" priority="3">
      <formula>AX10=1</formula>
    </cfRule>
  </conditionalFormatting>
  <conditionalFormatting sqref="J10:P10">
    <cfRule type="expression" dxfId="43" priority="4">
      <formula>WEEKDAY(J10,2)&gt;5</formula>
    </cfRule>
  </conditionalFormatting>
  <conditionalFormatting sqref="J11:P11">
    <cfRule type="expression" dxfId="44" priority="1">
      <formula>MONTH(J11)&lt;&gt;2</formula>
    </cfRule>
  </conditionalFormatting>
  <conditionalFormatting sqref="J11:P11">
    <cfRule type="expression" dxfId="45" priority="2">
      <formula>J11=TODAY()</formula>
    </cfRule>
  </conditionalFormatting>
  <conditionalFormatting sqref="J11:P11">
    <cfRule type="expression" dxfId="46" priority="3">
      <formula>AX11=1</formula>
    </cfRule>
  </conditionalFormatting>
  <conditionalFormatting sqref="J11:P11">
    <cfRule type="expression" dxfId="47" priority="4">
      <formula>WEEKDAY(J11,2)&gt;5</formula>
    </cfRule>
  </conditionalFormatting>
  <conditionalFormatting sqref="R6:X6">
    <cfRule type="expression" dxfId="48" priority="1">
      <formula>MONTH(R6)&lt;&gt;3</formula>
    </cfRule>
  </conditionalFormatting>
  <conditionalFormatting sqref="R6:X6">
    <cfRule type="expression" dxfId="49" priority="2">
      <formula>R6=TODAY()</formula>
    </cfRule>
  </conditionalFormatting>
  <conditionalFormatting sqref="R6:X6">
    <cfRule type="expression" dxfId="50" priority="3">
      <formula>BF6=1</formula>
    </cfRule>
  </conditionalFormatting>
  <conditionalFormatting sqref="R6:X6">
    <cfRule type="expression" dxfId="51" priority="4">
      <formula>WEEKDAY(R6,2)&gt;5</formula>
    </cfRule>
  </conditionalFormatting>
  <conditionalFormatting sqref="R7:X7">
    <cfRule type="expression" dxfId="52" priority="1">
      <formula>MONTH(R7)&lt;&gt;3</formula>
    </cfRule>
  </conditionalFormatting>
  <conditionalFormatting sqref="R7:X7">
    <cfRule type="expression" dxfId="53" priority="2">
      <formula>R7=TODAY()</formula>
    </cfRule>
  </conditionalFormatting>
  <conditionalFormatting sqref="R7:X7">
    <cfRule type="expression" dxfId="54" priority="3">
      <formula>BF7=1</formula>
    </cfRule>
  </conditionalFormatting>
  <conditionalFormatting sqref="R7:X7">
    <cfRule type="expression" dxfId="55" priority="4">
      <formula>WEEKDAY(R7,2)&gt;5</formula>
    </cfRule>
  </conditionalFormatting>
  <conditionalFormatting sqref="R8:X8">
    <cfRule type="expression" dxfId="56" priority="1">
      <formula>MONTH(R8)&lt;&gt;3</formula>
    </cfRule>
  </conditionalFormatting>
  <conditionalFormatting sqref="R8:X8">
    <cfRule type="expression" dxfId="57" priority="2">
      <formula>R8=TODAY()</formula>
    </cfRule>
  </conditionalFormatting>
  <conditionalFormatting sqref="R8:X8">
    <cfRule type="expression" dxfId="58" priority="3">
      <formula>BF8=1</formula>
    </cfRule>
  </conditionalFormatting>
  <conditionalFormatting sqref="R8:X8">
    <cfRule type="expression" dxfId="59" priority="4">
      <formula>WEEKDAY(R8,2)&gt;5</formula>
    </cfRule>
  </conditionalFormatting>
  <conditionalFormatting sqref="R9:X9">
    <cfRule type="expression" dxfId="60" priority="1">
      <formula>MONTH(R9)&lt;&gt;3</formula>
    </cfRule>
  </conditionalFormatting>
  <conditionalFormatting sqref="R9:X9">
    <cfRule type="expression" dxfId="61" priority="2">
      <formula>R9=TODAY()</formula>
    </cfRule>
  </conditionalFormatting>
  <conditionalFormatting sqref="R9:X9">
    <cfRule type="expression" dxfId="62" priority="3">
      <formula>BF9=1</formula>
    </cfRule>
  </conditionalFormatting>
  <conditionalFormatting sqref="R9:X9">
    <cfRule type="expression" dxfId="63" priority="4">
      <formula>WEEKDAY(R9,2)&gt;5</formula>
    </cfRule>
  </conditionalFormatting>
  <conditionalFormatting sqref="R10:X10">
    <cfRule type="expression" dxfId="64" priority="1">
      <formula>MONTH(R10)&lt;&gt;3</formula>
    </cfRule>
  </conditionalFormatting>
  <conditionalFormatting sqref="R10:X10">
    <cfRule type="expression" dxfId="65" priority="2">
      <formula>R10=TODAY()</formula>
    </cfRule>
  </conditionalFormatting>
  <conditionalFormatting sqref="R10:X10">
    <cfRule type="expression" dxfId="66" priority="3">
      <formula>BF10=1</formula>
    </cfRule>
  </conditionalFormatting>
  <conditionalFormatting sqref="R10:X10">
    <cfRule type="expression" dxfId="67" priority="4">
      <formula>WEEKDAY(R10,2)&gt;5</formula>
    </cfRule>
  </conditionalFormatting>
  <conditionalFormatting sqref="R11:X11">
    <cfRule type="expression" dxfId="68" priority="1">
      <formula>MONTH(R11)&lt;&gt;3</formula>
    </cfRule>
  </conditionalFormatting>
  <conditionalFormatting sqref="R11:X11">
    <cfRule type="expression" dxfId="69" priority="2">
      <formula>R11=TODAY()</formula>
    </cfRule>
  </conditionalFormatting>
  <conditionalFormatting sqref="R11:X11">
    <cfRule type="expression" dxfId="70" priority="3">
      <formula>BF11=1</formula>
    </cfRule>
  </conditionalFormatting>
  <conditionalFormatting sqref="R11:X11">
    <cfRule type="expression" dxfId="71" priority="4">
      <formula>WEEKDAY(R11,2)&gt;5</formula>
    </cfRule>
  </conditionalFormatting>
  <conditionalFormatting sqref="Z6:AF6">
    <cfRule type="expression" dxfId="72" priority="1">
      <formula>MONTH(Z6)&lt;&gt;4</formula>
    </cfRule>
  </conditionalFormatting>
  <conditionalFormatting sqref="Z6:AF6">
    <cfRule type="expression" dxfId="73" priority="2">
      <formula>Z6=TODAY()</formula>
    </cfRule>
  </conditionalFormatting>
  <conditionalFormatting sqref="Z6:AF6">
    <cfRule type="expression" dxfId="74" priority="3">
      <formula>BN6=1</formula>
    </cfRule>
  </conditionalFormatting>
  <conditionalFormatting sqref="Z6:AF6">
    <cfRule type="expression" dxfId="75" priority="4">
      <formula>WEEKDAY(Z6,2)&gt;5</formula>
    </cfRule>
  </conditionalFormatting>
  <conditionalFormatting sqref="Z7:AF7">
    <cfRule type="expression" dxfId="76" priority="1">
      <formula>MONTH(Z7)&lt;&gt;4</formula>
    </cfRule>
  </conditionalFormatting>
  <conditionalFormatting sqref="Z7:AF7">
    <cfRule type="expression" dxfId="77" priority="2">
      <formula>Z7=TODAY()</formula>
    </cfRule>
  </conditionalFormatting>
  <conditionalFormatting sqref="Z7:AF7">
    <cfRule type="expression" dxfId="78" priority="3">
      <formula>BN7=1</formula>
    </cfRule>
  </conditionalFormatting>
  <conditionalFormatting sqref="Z7:AF7">
    <cfRule type="expression" dxfId="79" priority="4">
      <formula>WEEKDAY(Z7,2)&gt;5</formula>
    </cfRule>
  </conditionalFormatting>
  <conditionalFormatting sqref="Z8:AF8">
    <cfRule type="expression" dxfId="80" priority="1">
      <formula>MONTH(Z8)&lt;&gt;4</formula>
    </cfRule>
  </conditionalFormatting>
  <conditionalFormatting sqref="Z8:AF8">
    <cfRule type="expression" dxfId="81" priority="2">
      <formula>Z8=TODAY()</formula>
    </cfRule>
  </conditionalFormatting>
  <conditionalFormatting sqref="Z8:AF8">
    <cfRule type="expression" dxfId="82" priority="3">
      <formula>BN8=1</formula>
    </cfRule>
  </conditionalFormatting>
  <conditionalFormatting sqref="Z8:AF8">
    <cfRule type="expression" dxfId="83" priority="4">
      <formula>WEEKDAY(Z8,2)&gt;5</formula>
    </cfRule>
  </conditionalFormatting>
  <conditionalFormatting sqref="Z9:AF9">
    <cfRule type="expression" dxfId="84" priority="1">
      <formula>MONTH(Z9)&lt;&gt;4</formula>
    </cfRule>
  </conditionalFormatting>
  <conditionalFormatting sqref="Z9:AF9">
    <cfRule type="expression" dxfId="85" priority="2">
      <formula>Z9=TODAY()</formula>
    </cfRule>
  </conditionalFormatting>
  <conditionalFormatting sqref="Z9:AF9">
    <cfRule type="expression" dxfId="86" priority="3">
      <formula>BN9=1</formula>
    </cfRule>
  </conditionalFormatting>
  <conditionalFormatting sqref="Z9:AF9">
    <cfRule type="expression" dxfId="87" priority="4">
      <formula>WEEKDAY(Z9,2)&gt;5</formula>
    </cfRule>
  </conditionalFormatting>
  <conditionalFormatting sqref="Z10:AF10">
    <cfRule type="expression" dxfId="88" priority="1">
      <formula>MONTH(Z10)&lt;&gt;4</formula>
    </cfRule>
  </conditionalFormatting>
  <conditionalFormatting sqref="Z10:AF10">
    <cfRule type="expression" dxfId="89" priority="2">
      <formula>Z10=TODAY()</formula>
    </cfRule>
  </conditionalFormatting>
  <conditionalFormatting sqref="Z10:AF10">
    <cfRule type="expression" dxfId="90" priority="3">
      <formula>BN10=1</formula>
    </cfRule>
  </conditionalFormatting>
  <conditionalFormatting sqref="Z10:AF10">
    <cfRule type="expression" dxfId="91" priority="4">
      <formula>WEEKDAY(Z10,2)&gt;5</formula>
    </cfRule>
  </conditionalFormatting>
  <conditionalFormatting sqref="Z11:AF11">
    <cfRule type="expression" dxfId="92" priority="1">
      <formula>MONTH(Z11)&lt;&gt;4</formula>
    </cfRule>
  </conditionalFormatting>
  <conditionalFormatting sqref="Z11:AF11">
    <cfRule type="expression" dxfId="93" priority="2">
      <formula>Z11=TODAY()</formula>
    </cfRule>
  </conditionalFormatting>
  <conditionalFormatting sqref="Z11:AF11">
    <cfRule type="expression" dxfId="94" priority="3">
      <formula>BN11=1</formula>
    </cfRule>
  </conditionalFormatting>
  <conditionalFormatting sqref="Z11:AF11">
    <cfRule type="expression" dxfId="95" priority="4">
      <formula>WEEKDAY(Z11,2)&gt;5</formula>
    </cfRule>
  </conditionalFormatting>
  <conditionalFormatting sqref="B16:H16">
    <cfRule type="expression" dxfId="96" priority="1">
      <formula>MONTH(B16)&lt;&gt;5</formula>
    </cfRule>
  </conditionalFormatting>
  <conditionalFormatting sqref="B16:H16">
    <cfRule type="expression" dxfId="97" priority="2">
      <formula>B16=TODAY()</formula>
    </cfRule>
  </conditionalFormatting>
  <conditionalFormatting sqref="B16:H16">
    <cfRule type="expression" dxfId="98" priority="3">
      <formula>AP16=1</formula>
    </cfRule>
  </conditionalFormatting>
  <conditionalFormatting sqref="B16:H16">
    <cfRule type="expression" dxfId="99" priority="4">
      <formula>WEEKDAY(B16,2)&gt;5</formula>
    </cfRule>
  </conditionalFormatting>
  <conditionalFormatting sqref="B17:H17">
    <cfRule type="expression" dxfId="100" priority="1">
      <formula>MONTH(B17)&lt;&gt;5</formula>
    </cfRule>
  </conditionalFormatting>
  <conditionalFormatting sqref="B17:H17">
    <cfRule type="expression" dxfId="101" priority="2">
      <formula>B17=TODAY()</formula>
    </cfRule>
  </conditionalFormatting>
  <conditionalFormatting sqref="B17:H17">
    <cfRule type="expression" dxfId="102" priority="3">
      <formula>AP17=1</formula>
    </cfRule>
  </conditionalFormatting>
  <conditionalFormatting sqref="B17:H17">
    <cfRule type="expression" dxfId="103" priority="4">
      <formula>WEEKDAY(B17,2)&gt;5</formula>
    </cfRule>
  </conditionalFormatting>
  <conditionalFormatting sqref="B18:H18">
    <cfRule type="expression" dxfId="104" priority="1">
      <formula>MONTH(B18)&lt;&gt;5</formula>
    </cfRule>
  </conditionalFormatting>
  <conditionalFormatting sqref="B18:H18">
    <cfRule type="expression" dxfId="105" priority="2">
      <formula>B18=TODAY()</formula>
    </cfRule>
  </conditionalFormatting>
  <conditionalFormatting sqref="B18:H18">
    <cfRule type="expression" dxfId="106" priority="3">
      <formula>AP18=1</formula>
    </cfRule>
  </conditionalFormatting>
  <conditionalFormatting sqref="B18:H18">
    <cfRule type="expression" dxfId="107" priority="4">
      <formula>WEEKDAY(B18,2)&gt;5</formula>
    </cfRule>
  </conditionalFormatting>
  <conditionalFormatting sqref="B19:H19">
    <cfRule type="expression" dxfId="108" priority="1">
      <formula>MONTH(B19)&lt;&gt;5</formula>
    </cfRule>
  </conditionalFormatting>
  <conditionalFormatting sqref="B19:H19">
    <cfRule type="expression" dxfId="109" priority="2">
      <formula>B19=TODAY()</formula>
    </cfRule>
  </conditionalFormatting>
  <conditionalFormatting sqref="B19:H19">
    <cfRule type="expression" dxfId="110" priority="3">
      <formula>AP19=1</formula>
    </cfRule>
  </conditionalFormatting>
  <conditionalFormatting sqref="B19:H19">
    <cfRule type="expression" dxfId="111" priority="4">
      <formula>WEEKDAY(B19,2)&gt;5</formula>
    </cfRule>
  </conditionalFormatting>
  <conditionalFormatting sqref="B20:H20">
    <cfRule type="expression" dxfId="112" priority="1">
      <formula>MONTH(B20)&lt;&gt;5</formula>
    </cfRule>
  </conditionalFormatting>
  <conditionalFormatting sqref="B20:H20">
    <cfRule type="expression" dxfId="113" priority="2">
      <formula>B20=TODAY()</formula>
    </cfRule>
  </conditionalFormatting>
  <conditionalFormatting sqref="B20:H20">
    <cfRule type="expression" dxfId="114" priority="3">
      <formula>AP20=1</formula>
    </cfRule>
  </conditionalFormatting>
  <conditionalFormatting sqref="B20:H20">
    <cfRule type="expression" dxfId="115" priority="4">
      <formula>WEEKDAY(B20,2)&gt;5</formula>
    </cfRule>
  </conditionalFormatting>
  <conditionalFormatting sqref="B21:H21">
    <cfRule type="expression" dxfId="116" priority="1">
      <formula>MONTH(B21)&lt;&gt;5</formula>
    </cfRule>
  </conditionalFormatting>
  <conditionalFormatting sqref="B21:H21">
    <cfRule type="expression" dxfId="117" priority="2">
      <formula>B21=TODAY()</formula>
    </cfRule>
  </conditionalFormatting>
  <conditionalFormatting sqref="B21:H21">
    <cfRule type="expression" dxfId="118" priority="3">
      <formula>AP21=1</formula>
    </cfRule>
  </conditionalFormatting>
  <conditionalFormatting sqref="B21:H21">
    <cfRule type="expression" dxfId="119" priority="4">
      <formula>WEEKDAY(B21,2)&gt;5</formula>
    </cfRule>
  </conditionalFormatting>
  <conditionalFormatting sqref="J16:P16">
    <cfRule type="expression" dxfId="120" priority="1">
      <formula>MONTH(J16)&lt;&gt;6</formula>
    </cfRule>
  </conditionalFormatting>
  <conditionalFormatting sqref="J16:P16">
    <cfRule type="expression" dxfId="121" priority="2">
      <formula>J16=TODAY()</formula>
    </cfRule>
  </conditionalFormatting>
  <conditionalFormatting sqref="J16:P16">
    <cfRule type="expression" dxfId="122" priority="3">
      <formula>AX16=1</formula>
    </cfRule>
  </conditionalFormatting>
  <conditionalFormatting sqref="J16:P16">
    <cfRule type="expression" dxfId="123" priority="4">
      <formula>WEEKDAY(J16,2)&gt;5</formula>
    </cfRule>
  </conditionalFormatting>
  <conditionalFormatting sqref="J17:P17">
    <cfRule type="expression" dxfId="124" priority="1">
      <formula>MONTH(J17)&lt;&gt;6</formula>
    </cfRule>
  </conditionalFormatting>
  <conditionalFormatting sqref="J17:P17">
    <cfRule type="expression" dxfId="125" priority="2">
      <formula>J17=TODAY()</formula>
    </cfRule>
  </conditionalFormatting>
  <conditionalFormatting sqref="J17:P17">
    <cfRule type="expression" dxfId="126" priority="3">
      <formula>AX17=1</formula>
    </cfRule>
  </conditionalFormatting>
  <conditionalFormatting sqref="J17:P17">
    <cfRule type="expression" dxfId="127" priority="4">
      <formula>WEEKDAY(J17,2)&gt;5</formula>
    </cfRule>
  </conditionalFormatting>
  <conditionalFormatting sqref="J18:P18">
    <cfRule type="expression" dxfId="128" priority="1">
      <formula>MONTH(J18)&lt;&gt;6</formula>
    </cfRule>
  </conditionalFormatting>
  <conditionalFormatting sqref="J18:P18">
    <cfRule type="expression" dxfId="129" priority="2">
      <formula>J18=TODAY()</formula>
    </cfRule>
  </conditionalFormatting>
  <conditionalFormatting sqref="J18:P18">
    <cfRule type="expression" dxfId="130" priority="3">
      <formula>AX18=1</formula>
    </cfRule>
  </conditionalFormatting>
  <conditionalFormatting sqref="J18:P18">
    <cfRule type="expression" dxfId="131" priority="4">
      <formula>WEEKDAY(J18,2)&gt;5</formula>
    </cfRule>
  </conditionalFormatting>
  <conditionalFormatting sqref="J19:P19">
    <cfRule type="expression" dxfId="132" priority="1">
      <formula>MONTH(J19)&lt;&gt;6</formula>
    </cfRule>
  </conditionalFormatting>
  <conditionalFormatting sqref="J19:P19">
    <cfRule type="expression" dxfId="133" priority="2">
      <formula>J19=TODAY()</formula>
    </cfRule>
  </conditionalFormatting>
  <conditionalFormatting sqref="J19:P19">
    <cfRule type="expression" dxfId="134" priority="3">
      <formula>AX19=1</formula>
    </cfRule>
  </conditionalFormatting>
  <conditionalFormatting sqref="J19:P19">
    <cfRule type="expression" dxfId="135" priority="4">
      <formula>WEEKDAY(J19,2)&gt;5</formula>
    </cfRule>
  </conditionalFormatting>
  <conditionalFormatting sqref="J20:P20">
    <cfRule type="expression" dxfId="136" priority="1">
      <formula>MONTH(J20)&lt;&gt;6</formula>
    </cfRule>
  </conditionalFormatting>
  <conditionalFormatting sqref="J20:P20">
    <cfRule type="expression" dxfId="137" priority="2">
      <formula>J20=TODAY()</formula>
    </cfRule>
  </conditionalFormatting>
  <conditionalFormatting sqref="J20:P20">
    <cfRule type="expression" dxfId="138" priority="3">
      <formula>AX20=1</formula>
    </cfRule>
  </conditionalFormatting>
  <conditionalFormatting sqref="J20:P20">
    <cfRule type="expression" dxfId="139" priority="4">
      <formula>WEEKDAY(J20,2)&gt;5</formula>
    </cfRule>
  </conditionalFormatting>
  <conditionalFormatting sqref="J21:P21">
    <cfRule type="expression" dxfId="140" priority="1">
      <formula>MONTH(J21)&lt;&gt;6</formula>
    </cfRule>
  </conditionalFormatting>
  <conditionalFormatting sqref="J21:P21">
    <cfRule type="expression" dxfId="141" priority="2">
      <formula>J21=TODAY()</formula>
    </cfRule>
  </conditionalFormatting>
  <conditionalFormatting sqref="J21:P21">
    <cfRule type="expression" dxfId="142" priority="3">
      <formula>AX21=1</formula>
    </cfRule>
  </conditionalFormatting>
  <conditionalFormatting sqref="J21:P21">
    <cfRule type="expression" dxfId="143" priority="4">
      <formula>WEEKDAY(J21,2)&gt;5</formula>
    </cfRule>
  </conditionalFormatting>
  <conditionalFormatting sqref="R16:X16">
    <cfRule type="expression" dxfId="144" priority="1">
      <formula>MONTH(R16)&lt;&gt;7</formula>
    </cfRule>
  </conditionalFormatting>
  <conditionalFormatting sqref="R16:X16">
    <cfRule type="expression" dxfId="145" priority="2">
      <formula>R16=TODAY()</formula>
    </cfRule>
  </conditionalFormatting>
  <conditionalFormatting sqref="R16:X16">
    <cfRule type="expression" dxfId="146" priority="3">
      <formula>BF16=1</formula>
    </cfRule>
  </conditionalFormatting>
  <conditionalFormatting sqref="R16:X16">
    <cfRule type="expression" dxfId="147" priority="4">
      <formula>WEEKDAY(R16,2)&gt;5</formula>
    </cfRule>
  </conditionalFormatting>
  <conditionalFormatting sqref="R17:X17">
    <cfRule type="expression" dxfId="148" priority="1">
      <formula>MONTH(R17)&lt;&gt;7</formula>
    </cfRule>
  </conditionalFormatting>
  <conditionalFormatting sqref="R17:X17">
    <cfRule type="expression" dxfId="149" priority="2">
      <formula>R17=TODAY()</formula>
    </cfRule>
  </conditionalFormatting>
  <conditionalFormatting sqref="R17:X17">
    <cfRule type="expression" dxfId="150" priority="3">
      <formula>BF17=1</formula>
    </cfRule>
  </conditionalFormatting>
  <conditionalFormatting sqref="R17:X17">
    <cfRule type="expression" dxfId="151" priority="4">
      <formula>WEEKDAY(R17,2)&gt;5</formula>
    </cfRule>
  </conditionalFormatting>
  <conditionalFormatting sqref="R18:X18">
    <cfRule type="expression" dxfId="152" priority="1">
      <formula>MONTH(R18)&lt;&gt;7</formula>
    </cfRule>
  </conditionalFormatting>
  <conditionalFormatting sqref="R18:X18">
    <cfRule type="expression" dxfId="153" priority="2">
      <formula>R18=TODAY()</formula>
    </cfRule>
  </conditionalFormatting>
  <conditionalFormatting sqref="R18:X18">
    <cfRule type="expression" dxfId="154" priority="3">
      <formula>BF18=1</formula>
    </cfRule>
  </conditionalFormatting>
  <conditionalFormatting sqref="R18:X18">
    <cfRule type="expression" dxfId="155" priority="4">
      <formula>WEEKDAY(R18,2)&gt;5</formula>
    </cfRule>
  </conditionalFormatting>
  <conditionalFormatting sqref="R19:X19">
    <cfRule type="expression" dxfId="156" priority="1">
      <formula>MONTH(R19)&lt;&gt;7</formula>
    </cfRule>
  </conditionalFormatting>
  <conditionalFormatting sqref="R19:X19">
    <cfRule type="expression" dxfId="157" priority="2">
      <formula>R19=TODAY()</formula>
    </cfRule>
  </conditionalFormatting>
  <conditionalFormatting sqref="R19:X19">
    <cfRule type="expression" dxfId="158" priority="3">
      <formula>BF19=1</formula>
    </cfRule>
  </conditionalFormatting>
  <conditionalFormatting sqref="R19:X19">
    <cfRule type="expression" dxfId="159" priority="4">
      <formula>WEEKDAY(R19,2)&gt;5</formula>
    </cfRule>
  </conditionalFormatting>
  <conditionalFormatting sqref="R20:X20">
    <cfRule type="expression" dxfId="160" priority="1">
      <formula>MONTH(R20)&lt;&gt;7</formula>
    </cfRule>
  </conditionalFormatting>
  <conditionalFormatting sqref="R20:X20">
    <cfRule type="expression" dxfId="161" priority="2">
      <formula>R20=TODAY()</formula>
    </cfRule>
  </conditionalFormatting>
  <conditionalFormatting sqref="R20:X20">
    <cfRule type="expression" dxfId="162" priority="3">
      <formula>BF20=1</formula>
    </cfRule>
  </conditionalFormatting>
  <conditionalFormatting sqref="R20:X20">
    <cfRule type="expression" dxfId="163" priority="4">
      <formula>WEEKDAY(R20,2)&gt;5</formula>
    </cfRule>
  </conditionalFormatting>
  <conditionalFormatting sqref="R21:X21">
    <cfRule type="expression" dxfId="164" priority="1">
      <formula>MONTH(R21)&lt;&gt;7</formula>
    </cfRule>
  </conditionalFormatting>
  <conditionalFormatting sqref="R21:X21">
    <cfRule type="expression" dxfId="165" priority="2">
      <formula>R21=TODAY()</formula>
    </cfRule>
  </conditionalFormatting>
  <conditionalFormatting sqref="R21:X21">
    <cfRule type="expression" dxfId="166" priority="3">
      <formula>BF21=1</formula>
    </cfRule>
  </conditionalFormatting>
  <conditionalFormatting sqref="R21:X21">
    <cfRule type="expression" dxfId="167" priority="4">
      <formula>WEEKDAY(R21,2)&gt;5</formula>
    </cfRule>
  </conditionalFormatting>
  <conditionalFormatting sqref="Z16:AF16">
    <cfRule type="expression" dxfId="168" priority="1">
      <formula>MONTH(Z16)&lt;&gt;8</formula>
    </cfRule>
  </conditionalFormatting>
  <conditionalFormatting sqref="Z16:AF16">
    <cfRule type="expression" dxfId="169" priority="2">
      <formula>Z16=TODAY()</formula>
    </cfRule>
  </conditionalFormatting>
  <conditionalFormatting sqref="Z16:AF16">
    <cfRule type="expression" dxfId="170" priority="3">
      <formula>BN16=1</formula>
    </cfRule>
  </conditionalFormatting>
  <conditionalFormatting sqref="Z16:AF16">
    <cfRule type="expression" dxfId="171" priority="4">
      <formula>WEEKDAY(Z16,2)&gt;5</formula>
    </cfRule>
  </conditionalFormatting>
  <conditionalFormatting sqref="Z17:AF17">
    <cfRule type="expression" dxfId="172" priority="1">
      <formula>MONTH(Z17)&lt;&gt;8</formula>
    </cfRule>
  </conditionalFormatting>
  <conditionalFormatting sqref="Z17:AF17">
    <cfRule type="expression" dxfId="173" priority="2">
      <formula>Z17=TODAY()</formula>
    </cfRule>
  </conditionalFormatting>
  <conditionalFormatting sqref="Z17:AF17">
    <cfRule type="expression" dxfId="174" priority="3">
      <formula>BN17=1</formula>
    </cfRule>
  </conditionalFormatting>
  <conditionalFormatting sqref="Z17:AF17">
    <cfRule type="expression" dxfId="175" priority="4">
      <formula>WEEKDAY(Z17,2)&gt;5</formula>
    </cfRule>
  </conditionalFormatting>
  <conditionalFormatting sqref="Z18:AF18">
    <cfRule type="expression" dxfId="176" priority="1">
      <formula>MONTH(Z18)&lt;&gt;8</formula>
    </cfRule>
  </conditionalFormatting>
  <conditionalFormatting sqref="Z18:AF18">
    <cfRule type="expression" dxfId="177" priority="2">
      <formula>Z18=TODAY()</formula>
    </cfRule>
  </conditionalFormatting>
  <conditionalFormatting sqref="Z18:AF18">
    <cfRule type="expression" dxfId="178" priority="3">
      <formula>BN18=1</formula>
    </cfRule>
  </conditionalFormatting>
  <conditionalFormatting sqref="Z18:AF18">
    <cfRule type="expression" dxfId="179" priority="4">
      <formula>WEEKDAY(Z18,2)&gt;5</formula>
    </cfRule>
  </conditionalFormatting>
  <conditionalFormatting sqref="Z19:AF19">
    <cfRule type="expression" dxfId="180" priority="1">
      <formula>MONTH(Z19)&lt;&gt;8</formula>
    </cfRule>
  </conditionalFormatting>
  <conditionalFormatting sqref="Z19:AF19">
    <cfRule type="expression" dxfId="181" priority="2">
      <formula>Z19=TODAY()</formula>
    </cfRule>
  </conditionalFormatting>
  <conditionalFormatting sqref="Z19:AF19">
    <cfRule type="expression" dxfId="182" priority="3">
      <formula>BN19=1</formula>
    </cfRule>
  </conditionalFormatting>
  <conditionalFormatting sqref="Z19:AF19">
    <cfRule type="expression" dxfId="183" priority="4">
      <formula>WEEKDAY(Z19,2)&gt;5</formula>
    </cfRule>
  </conditionalFormatting>
  <conditionalFormatting sqref="Z20:AF20">
    <cfRule type="expression" dxfId="184" priority="1">
      <formula>MONTH(Z20)&lt;&gt;8</formula>
    </cfRule>
  </conditionalFormatting>
  <conditionalFormatting sqref="Z20:AF20">
    <cfRule type="expression" dxfId="185" priority="2">
      <formula>Z20=TODAY()</formula>
    </cfRule>
  </conditionalFormatting>
  <conditionalFormatting sqref="Z20:AF20">
    <cfRule type="expression" dxfId="186" priority="3">
      <formula>BN20=1</formula>
    </cfRule>
  </conditionalFormatting>
  <conditionalFormatting sqref="Z20:AF20">
    <cfRule type="expression" dxfId="187" priority="4">
      <formula>WEEKDAY(Z20,2)&gt;5</formula>
    </cfRule>
  </conditionalFormatting>
  <conditionalFormatting sqref="Z21:AF21">
    <cfRule type="expression" dxfId="188" priority="1">
      <formula>MONTH(Z21)&lt;&gt;8</formula>
    </cfRule>
  </conditionalFormatting>
  <conditionalFormatting sqref="Z21:AF21">
    <cfRule type="expression" dxfId="189" priority="2">
      <formula>Z21=TODAY()</formula>
    </cfRule>
  </conditionalFormatting>
  <conditionalFormatting sqref="Z21:AF21">
    <cfRule type="expression" dxfId="190" priority="3">
      <formula>BN21=1</formula>
    </cfRule>
  </conditionalFormatting>
  <conditionalFormatting sqref="Z21:AF21">
    <cfRule type="expression" dxfId="191" priority="4">
      <formula>WEEKDAY(Z21,2)&gt;5</formula>
    </cfRule>
  </conditionalFormatting>
  <conditionalFormatting sqref="B26:H26">
    <cfRule type="expression" dxfId="192" priority="1">
      <formula>MONTH(B26)&lt;&gt;9</formula>
    </cfRule>
  </conditionalFormatting>
  <conditionalFormatting sqref="B26:H26">
    <cfRule type="expression" dxfId="193" priority="2">
      <formula>B26=TODAY()</formula>
    </cfRule>
  </conditionalFormatting>
  <conditionalFormatting sqref="B26:H26">
    <cfRule type="expression" dxfId="194" priority="3">
      <formula>AP26=1</formula>
    </cfRule>
  </conditionalFormatting>
  <conditionalFormatting sqref="B26:H26">
    <cfRule type="expression" dxfId="195" priority="4">
      <formula>WEEKDAY(B26,2)&gt;5</formula>
    </cfRule>
  </conditionalFormatting>
  <conditionalFormatting sqref="B27:H27">
    <cfRule type="expression" dxfId="196" priority="1">
      <formula>MONTH(B27)&lt;&gt;9</formula>
    </cfRule>
  </conditionalFormatting>
  <conditionalFormatting sqref="B27:H27">
    <cfRule type="expression" dxfId="197" priority="2">
      <formula>B27=TODAY()</formula>
    </cfRule>
  </conditionalFormatting>
  <conditionalFormatting sqref="B27:H27">
    <cfRule type="expression" dxfId="198" priority="3">
      <formula>AP27=1</formula>
    </cfRule>
  </conditionalFormatting>
  <conditionalFormatting sqref="B27:H27">
    <cfRule type="expression" dxfId="199" priority="4">
      <formula>WEEKDAY(B27,2)&gt;5</formula>
    </cfRule>
  </conditionalFormatting>
  <conditionalFormatting sqref="B28:H28">
    <cfRule type="expression" dxfId="200" priority="1">
      <formula>MONTH(B28)&lt;&gt;9</formula>
    </cfRule>
  </conditionalFormatting>
  <conditionalFormatting sqref="B28:H28">
    <cfRule type="expression" dxfId="201" priority="2">
      <formula>B28=TODAY()</formula>
    </cfRule>
  </conditionalFormatting>
  <conditionalFormatting sqref="B28:H28">
    <cfRule type="expression" dxfId="202" priority="3">
      <formula>AP28=1</formula>
    </cfRule>
  </conditionalFormatting>
  <conditionalFormatting sqref="B28:H28">
    <cfRule type="expression" dxfId="203" priority="4">
      <formula>WEEKDAY(B28,2)&gt;5</formula>
    </cfRule>
  </conditionalFormatting>
  <conditionalFormatting sqref="B29:H29">
    <cfRule type="expression" dxfId="204" priority="1">
      <formula>MONTH(B29)&lt;&gt;9</formula>
    </cfRule>
  </conditionalFormatting>
  <conditionalFormatting sqref="B29:H29">
    <cfRule type="expression" dxfId="205" priority="2">
      <formula>B29=TODAY()</formula>
    </cfRule>
  </conditionalFormatting>
  <conditionalFormatting sqref="B29:H29">
    <cfRule type="expression" dxfId="206" priority="3">
      <formula>AP29=1</formula>
    </cfRule>
  </conditionalFormatting>
  <conditionalFormatting sqref="B29:H29">
    <cfRule type="expression" dxfId="207" priority="4">
      <formula>WEEKDAY(B29,2)&gt;5</formula>
    </cfRule>
  </conditionalFormatting>
  <conditionalFormatting sqref="B30:H30">
    <cfRule type="expression" dxfId="208" priority="1">
      <formula>MONTH(B30)&lt;&gt;9</formula>
    </cfRule>
  </conditionalFormatting>
  <conditionalFormatting sqref="B30:H30">
    <cfRule type="expression" dxfId="209" priority="2">
      <formula>B30=TODAY()</formula>
    </cfRule>
  </conditionalFormatting>
  <conditionalFormatting sqref="B30:H30">
    <cfRule type="expression" dxfId="210" priority="3">
      <formula>AP30=1</formula>
    </cfRule>
  </conditionalFormatting>
  <conditionalFormatting sqref="B30:H30">
    <cfRule type="expression" dxfId="211" priority="4">
      <formula>WEEKDAY(B30,2)&gt;5</formula>
    </cfRule>
  </conditionalFormatting>
  <conditionalFormatting sqref="B31:H31">
    <cfRule type="expression" dxfId="212" priority="1">
      <formula>MONTH(B31)&lt;&gt;9</formula>
    </cfRule>
  </conditionalFormatting>
  <conditionalFormatting sqref="B31:H31">
    <cfRule type="expression" dxfId="213" priority="2">
      <formula>B31=TODAY()</formula>
    </cfRule>
  </conditionalFormatting>
  <conditionalFormatting sqref="B31:H31">
    <cfRule type="expression" dxfId="214" priority="3">
      <formula>AP31=1</formula>
    </cfRule>
  </conditionalFormatting>
  <conditionalFormatting sqref="B31:H31">
    <cfRule type="expression" dxfId="215" priority="4">
      <formula>WEEKDAY(B31,2)&gt;5</formula>
    </cfRule>
  </conditionalFormatting>
  <conditionalFormatting sqref="J26:P26">
    <cfRule type="expression" dxfId="216" priority="1">
      <formula>MONTH(J26)&lt;&gt;10</formula>
    </cfRule>
  </conditionalFormatting>
  <conditionalFormatting sqref="J26:P26">
    <cfRule type="expression" dxfId="217" priority="2">
      <formula>J26=TODAY()</formula>
    </cfRule>
  </conditionalFormatting>
  <conditionalFormatting sqref="J26:P26">
    <cfRule type="expression" dxfId="218" priority="3">
      <formula>AX26=1</formula>
    </cfRule>
  </conditionalFormatting>
  <conditionalFormatting sqref="J26:P26">
    <cfRule type="expression" dxfId="219" priority="4">
      <formula>WEEKDAY(J26,2)&gt;5</formula>
    </cfRule>
  </conditionalFormatting>
  <conditionalFormatting sqref="J27:P27">
    <cfRule type="expression" dxfId="220" priority="1">
      <formula>MONTH(J27)&lt;&gt;10</formula>
    </cfRule>
  </conditionalFormatting>
  <conditionalFormatting sqref="J27:P27">
    <cfRule type="expression" dxfId="221" priority="2">
      <formula>J27=TODAY()</formula>
    </cfRule>
  </conditionalFormatting>
  <conditionalFormatting sqref="J27:P27">
    <cfRule type="expression" dxfId="222" priority="3">
      <formula>AX27=1</formula>
    </cfRule>
  </conditionalFormatting>
  <conditionalFormatting sqref="J27:P27">
    <cfRule type="expression" dxfId="223" priority="4">
      <formula>WEEKDAY(J27,2)&gt;5</formula>
    </cfRule>
  </conditionalFormatting>
  <conditionalFormatting sqref="J28:P28">
    <cfRule type="expression" dxfId="224" priority="1">
      <formula>MONTH(J28)&lt;&gt;10</formula>
    </cfRule>
  </conditionalFormatting>
  <conditionalFormatting sqref="J28:P28">
    <cfRule type="expression" dxfId="225" priority="2">
      <formula>J28=TODAY()</formula>
    </cfRule>
  </conditionalFormatting>
  <conditionalFormatting sqref="J28:P28">
    <cfRule type="expression" dxfId="226" priority="3">
      <formula>AX28=1</formula>
    </cfRule>
  </conditionalFormatting>
  <conditionalFormatting sqref="J28:P28">
    <cfRule type="expression" dxfId="227" priority="4">
      <formula>WEEKDAY(J28,2)&gt;5</formula>
    </cfRule>
  </conditionalFormatting>
  <conditionalFormatting sqref="J29:P29">
    <cfRule type="expression" dxfId="228" priority="1">
      <formula>MONTH(J29)&lt;&gt;10</formula>
    </cfRule>
  </conditionalFormatting>
  <conditionalFormatting sqref="J29:P29">
    <cfRule type="expression" dxfId="229" priority="2">
      <formula>J29=TODAY()</formula>
    </cfRule>
  </conditionalFormatting>
  <conditionalFormatting sqref="J29:P29">
    <cfRule type="expression" dxfId="230" priority="3">
      <formula>AX29=1</formula>
    </cfRule>
  </conditionalFormatting>
  <conditionalFormatting sqref="J29:P29">
    <cfRule type="expression" dxfId="231" priority="4">
      <formula>WEEKDAY(J29,2)&gt;5</formula>
    </cfRule>
  </conditionalFormatting>
  <conditionalFormatting sqref="J30:P30">
    <cfRule type="expression" dxfId="232" priority="1">
      <formula>MONTH(J30)&lt;&gt;10</formula>
    </cfRule>
  </conditionalFormatting>
  <conditionalFormatting sqref="J30:P30">
    <cfRule type="expression" dxfId="233" priority="2">
      <formula>J30=TODAY()</formula>
    </cfRule>
  </conditionalFormatting>
  <conditionalFormatting sqref="J30:P30">
    <cfRule type="expression" dxfId="234" priority="3">
      <formula>AX30=1</formula>
    </cfRule>
  </conditionalFormatting>
  <conditionalFormatting sqref="J30:P30">
    <cfRule type="expression" dxfId="235" priority="4">
      <formula>WEEKDAY(J30,2)&gt;5</formula>
    </cfRule>
  </conditionalFormatting>
  <conditionalFormatting sqref="J31:P31">
    <cfRule type="expression" dxfId="236" priority="1">
      <formula>MONTH(J31)&lt;&gt;10</formula>
    </cfRule>
  </conditionalFormatting>
  <conditionalFormatting sqref="J31:P31">
    <cfRule type="expression" dxfId="237" priority="2">
      <formula>J31=TODAY()</formula>
    </cfRule>
  </conditionalFormatting>
  <conditionalFormatting sqref="J31:P31">
    <cfRule type="expression" dxfId="238" priority="3">
      <formula>AX31=1</formula>
    </cfRule>
  </conditionalFormatting>
  <conditionalFormatting sqref="J31:P31">
    <cfRule type="expression" dxfId="239" priority="4">
      <formula>WEEKDAY(J31,2)&gt;5</formula>
    </cfRule>
  </conditionalFormatting>
  <conditionalFormatting sqref="R26:X26">
    <cfRule type="expression" dxfId="240" priority="1">
      <formula>MONTH(R26)&lt;&gt;11</formula>
    </cfRule>
  </conditionalFormatting>
  <conditionalFormatting sqref="R26:X26">
    <cfRule type="expression" dxfId="241" priority="2">
      <formula>R26=TODAY()</formula>
    </cfRule>
  </conditionalFormatting>
  <conditionalFormatting sqref="R26:X26">
    <cfRule type="expression" dxfId="242" priority="3">
      <formula>BF26=1</formula>
    </cfRule>
  </conditionalFormatting>
  <conditionalFormatting sqref="R26:X26">
    <cfRule type="expression" dxfId="243" priority="4">
      <formula>WEEKDAY(R26,2)&gt;5</formula>
    </cfRule>
  </conditionalFormatting>
  <conditionalFormatting sqref="R27:X27">
    <cfRule type="expression" dxfId="244" priority="1">
      <formula>MONTH(R27)&lt;&gt;11</formula>
    </cfRule>
  </conditionalFormatting>
  <conditionalFormatting sqref="R27:X27">
    <cfRule type="expression" dxfId="245" priority="2">
      <formula>R27=TODAY()</formula>
    </cfRule>
  </conditionalFormatting>
  <conditionalFormatting sqref="R27:X27">
    <cfRule type="expression" dxfId="246" priority="3">
      <formula>BF27=1</formula>
    </cfRule>
  </conditionalFormatting>
  <conditionalFormatting sqref="R27:X27">
    <cfRule type="expression" dxfId="247" priority="4">
      <formula>WEEKDAY(R27,2)&gt;5</formula>
    </cfRule>
  </conditionalFormatting>
  <conditionalFormatting sqref="R28:X28">
    <cfRule type="expression" dxfId="248" priority="1">
      <formula>MONTH(R28)&lt;&gt;11</formula>
    </cfRule>
  </conditionalFormatting>
  <conditionalFormatting sqref="R28:X28">
    <cfRule type="expression" dxfId="249" priority="2">
      <formula>R28=TODAY()</formula>
    </cfRule>
  </conditionalFormatting>
  <conditionalFormatting sqref="R28:X28">
    <cfRule type="expression" dxfId="250" priority="3">
      <formula>BF28=1</formula>
    </cfRule>
  </conditionalFormatting>
  <conditionalFormatting sqref="R28:X28">
    <cfRule type="expression" dxfId="251" priority="4">
      <formula>WEEKDAY(R28,2)&gt;5</formula>
    </cfRule>
  </conditionalFormatting>
  <conditionalFormatting sqref="R29:X29">
    <cfRule type="expression" dxfId="252" priority="1">
      <formula>MONTH(R29)&lt;&gt;11</formula>
    </cfRule>
  </conditionalFormatting>
  <conditionalFormatting sqref="R29:X29">
    <cfRule type="expression" dxfId="253" priority="2">
      <formula>R29=TODAY()</formula>
    </cfRule>
  </conditionalFormatting>
  <conditionalFormatting sqref="R29:X29">
    <cfRule type="expression" dxfId="254" priority="3">
      <formula>BF29=1</formula>
    </cfRule>
  </conditionalFormatting>
  <conditionalFormatting sqref="R29:X29">
    <cfRule type="expression" dxfId="255" priority="4">
      <formula>WEEKDAY(R29,2)&gt;5</formula>
    </cfRule>
  </conditionalFormatting>
  <conditionalFormatting sqref="R30:X30">
    <cfRule type="expression" dxfId="256" priority="1">
      <formula>MONTH(R30)&lt;&gt;11</formula>
    </cfRule>
  </conditionalFormatting>
  <conditionalFormatting sqref="R30:X30">
    <cfRule type="expression" dxfId="257" priority="2">
      <formula>R30=TODAY()</formula>
    </cfRule>
  </conditionalFormatting>
  <conditionalFormatting sqref="R30:X30">
    <cfRule type="expression" dxfId="258" priority="3">
      <formula>BF30=1</formula>
    </cfRule>
  </conditionalFormatting>
  <conditionalFormatting sqref="R30:X30">
    <cfRule type="expression" dxfId="259" priority="4">
      <formula>WEEKDAY(R30,2)&gt;5</formula>
    </cfRule>
  </conditionalFormatting>
  <conditionalFormatting sqref="R31:X31">
    <cfRule type="expression" dxfId="260" priority="1">
      <formula>MONTH(R31)&lt;&gt;11</formula>
    </cfRule>
  </conditionalFormatting>
  <conditionalFormatting sqref="R31:X31">
    <cfRule type="expression" dxfId="261" priority="2">
      <formula>R31=TODAY()</formula>
    </cfRule>
  </conditionalFormatting>
  <conditionalFormatting sqref="R31:X31">
    <cfRule type="expression" dxfId="262" priority="3">
      <formula>BF31=1</formula>
    </cfRule>
  </conditionalFormatting>
  <conditionalFormatting sqref="R31:X31">
    <cfRule type="expression" dxfId="263" priority="4">
      <formula>WEEKDAY(R31,2)&gt;5</formula>
    </cfRule>
  </conditionalFormatting>
  <conditionalFormatting sqref="Z26:AF26">
    <cfRule type="expression" dxfId="264" priority="1">
      <formula>MONTH(Z26)&lt;&gt;12</formula>
    </cfRule>
  </conditionalFormatting>
  <conditionalFormatting sqref="Z26:AF26">
    <cfRule type="expression" dxfId="265" priority="2">
      <formula>Z26=TODAY()</formula>
    </cfRule>
  </conditionalFormatting>
  <conditionalFormatting sqref="Z26:AF26">
    <cfRule type="expression" dxfId="266" priority="3">
      <formula>BN26=1</formula>
    </cfRule>
  </conditionalFormatting>
  <conditionalFormatting sqref="Z26:AF26">
    <cfRule type="expression" dxfId="267" priority="4">
      <formula>WEEKDAY(Z26,2)&gt;5</formula>
    </cfRule>
  </conditionalFormatting>
  <conditionalFormatting sqref="Z27:AF27">
    <cfRule type="expression" dxfId="268" priority="1">
      <formula>MONTH(Z27)&lt;&gt;12</formula>
    </cfRule>
  </conditionalFormatting>
  <conditionalFormatting sqref="Z27:AF27">
    <cfRule type="expression" dxfId="269" priority="2">
      <formula>Z27=TODAY()</formula>
    </cfRule>
  </conditionalFormatting>
  <conditionalFormatting sqref="Z27:AF27">
    <cfRule type="expression" dxfId="270" priority="3">
      <formula>BN27=1</formula>
    </cfRule>
  </conditionalFormatting>
  <conditionalFormatting sqref="Z27:AF27">
    <cfRule type="expression" dxfId="271" priority="4">
      <formula>WEEKDAY(Z27,2)&gt;5</formula>
    </cfRule>
  </conditionalFormatting>
  <conditionalFormatting sqref="Z28:AF28">
    <cfRule type="expression" dxfId="272" priority="1">
      <formula>MONTH(Z28)&lt;&gt;12</formula>
    </cfRule>
  </conditionalFormatting>
  <conditionalFormatting sqref="Z28:AF28">
    <cfRule type="expression" dxfId="273" priority="2">
      <formula>Z28=TODAY()</formula>
    </cfRule>
  </conditionalFormatting>
  <conditionalFormatting sqref="Z28:AF28">
    <cfRule type="expression" dxfId="274" priority="3">
      <formula>BN28=1</formula>
    </cfRule>
  </conditionalFormatting>
  <conditionalFormatting sqref="Z28:AF28">
    <cfRule type="expression" dxfId="275" priority="4">
      <formula>WEEKDAY(Z28,2)&gt;5</formula>
    </cfRule>
  </conditionalFormatting>
  <conditionalFormatting sqref="Z29:AF29">
    <cfRule type="expression" dxfId="276" priority="1">
      <formula>MONTH(Z29)&lt;&gt;12</formula>
    </cfRule>
  </conditionalFormatting>
  <conditionalFormatting sqref="Z29:AF29">
    <cfRule type="expression" dxfId="277" priority="2">
      <formula>Z29=TODAY()</formula>
    </cfRule>
  </conditionalFormatting>
  <conditionalFormatting sqref="Z29:AF29">
    <cfRule type="expression" dxfId="278" priority="3">
      <formula>BN29=1</formula>
    </cfRule>
  </conditionalFormatting>
  <conditionalFormatting sqref="Z29:AF29">
    <cfRule type="expression" dxfId="279" priority="4">
      <formula>WEEKDAY(Z29,2)&gt;5</formula>
    </cfRule>
  </conditionalFormatting>
  <conditionalFormatting sqref="Z30:AF30">
    <cfRule type="expression" dxfId="280" priority="1">
      <formula>MONTH(Z30)&lt;&gt;12</formula>
    </cfRule>
  </conditionalFormatting>
  <conditionalFormatting sqref="Z30:AF30">
    <cfRule type="expression" dxfId="281" priority="2">
      <formula>Z30=TODAY()</formula>
    </cfRule>
  </conditionalFormatting>
  <conditionalFormatting sqref="Z30:AF30">
    <cfRule type="expression" dxfId="282" priority="3">
      <formula>BN30=1</formula>
    </cfRule>
  </conditionalFormatting>
  <conditionalFormatting sqref="Z30:AF30">
    <cfRule type="expression" dxfId="283" priority="4">
      <formula>WEEKDAY(Z30,2)&gt;5</formula>
    </cfRule>
  </conditionalFormatting>
  <conditionalFormatting sqref="Z31:AF31">
    <cfRule type="expression" dxfId="284" priority="1">
      <formula>MONTH(Z31)&lt;&gt;12</formula>
    </cfRule>
  </conditionalFormatting>
  <conditionalFormatting sqref="Z31:AF31">
    <cfRule type="expression" dxfId="285" priority="2">
      <formula>Z31=TODAY()</formula>
    </cfRule>
  </conditionalFormatting>
  <conditionalFormatting sqref="Z31:AF31">
    <cfRule type="expression" dxfId="286" priority="3">
      <formula>BN31=1</formula>
    </cfRule>
  </conditionalFormatting>
  <conditionalFormatting sqref="Z31:AF31">
    <cfRule type="expression" dxfId="287" priority="4">
      <formula>WEEKDAY(Z31,2)&gt;5</formula>
    </cfRule>
  </conditionalFormatting>
  <hyperlinks>
    <hyperlink ref="AG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INDEX(MonthNames,1)&amp;" "&amp;CalYear</f>
        <v>January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DATE(CalYear,1,1)-WEEKDAY(DATE(CalYear,1,1),WeekType)+1+0</f>
        <v>46384</v>
      </c>
      <c r="C5" s="21">
        <f>DATE(CalYear,1,1)-WEEKDAY(DATE(CalYear,1,1),WeekType)+1+1</f>
        <v>46385</v>
      </c>
      <c r="D5" s="21">
        <f>DATE(CalYear,1,1)-WEEKDAY(DATE(CalYear,1,1),WeekType)+1+2</f>
        <v>46386</v>
      </c>
      <c r="E5" s="21">
        <f>DATE(CalYear,1,1)-WEEKDAY(DATE(CalYear,1,1),WeekType)+1+3</f>
        <v>46387</v>
      </c>
      <c r="F5" s="21">
        <f>DATE(CalYear,1,1)-WEEKDAY(DATE(CalYear,1,1),WeekType)+1+4</f>
        <v>46388</v>
      </c>
      <c r="G5" s="21">
        <f>DATE(CalYear,1,1)-WEEKDAY(DATE(CalYear,1,1),WeekType)+1+5</f>
        <v>46389</v>
      </c>
      <c r="H5" s="21">
        <f>DATE(CalYear,1,1)-WEEKDAY(DATE(CalYear,1,1),WeekType)+1+6</f>
        <v>46390</v>
      </c>
      <c r="J5" s="22">
        <f>IFERROR(INDEX(HolDate,MATCH(101,HolKey,0)),"")</f>
        <v>46388</v>
      </c>
      <c r="K5" s="23" t="str">
        <f>IFERROR(INDEX(HolName,MATCH(101,HolKey,0)),"")</f>
        <v>New Year's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1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>
        <f>IFERROR(INDEX(HolDate,MATCH(102,HolKey,0)),"")</f>
        <v>46405</v>
      </c>
      <c r="K6" s="23" t="str">
        <f>IFERROR(INDEX(HolName,MATCH(102,HolKey,0)),"")</f>
        <v>Martin Luther King Jr. Day</v>
      </c>
    </row>
    <row r="7" ht="20" customHeight="1" spans="2:20" x14ac:dyDescent="0.25">
      <c r="B7" s="21">
        <f>DATE(CalYear,1,1)-WEEKDAY(DATE(CalYear,1,1),WeekType)+1+7</f>
        <v>46391</v>
      </c>
      <c r="C7" s="21">
        <f>DATE(CalYear,1,1)-WEEKDAY(DATE(CalYear,1,1),WeekType)+1+8</f>
        <v>46392</v>
      </c>
      <c r="D7" s="21">
        <f>DATE(CalYear,1,1)-WEEKDAY(DATE(CalYear,1,1),WeekType)+1+9</f>
        <v>46393</v>
      </c>
      <c r="E7" s="21">
        <f>DATE(CalYear,1,1)-WEEKDAY(DATE(CalYear,1,1),WeekType)+1+10</f>
        <v>46394</v>
      </c>
      <c r="F7" s="21">
        <f>DATE(CalYear,1,1)-WEEKDAY(DATE(CalYear,1,1),WeekType)+1+11</f>
        <v>46395</v>
      </c>
      <c r="G7" s="21">
        <f>DATE(CalYear,1,1)-WEEKDAY(DATE(CalYear,1,1),WeekType)+1+12</f>
        <v>46396</v>
      </c>
      <c r="H7" s="21">
        <f>DATE(CalYear,1,1)-WEEKDAY(DATE(CalYear,1,1),WeekType)+1+13</f>
        <v>46397</v>
      </c>
      <c r="J7" s="22" t="str">
        <f>IFERROR(INDEX(HolDate,MATCH(103,HolKey,0)),"")</f>
        <v/>
      </c>
      <c r="K7" s="23" t="str">
        <f>IFERROR(INDEX(HolName,MATCH(103,HolKey,0)),"")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IFERROR(INDEX(HolDate,MATCH(104,HolKey,0)),"")</f>
        <v/>
      </c>
      <c r="K8" s="23" t="str">
        <f>IFERROR(INDEX(HolName,MATCH(104,HolKey,0)),"")</f>
        <v/>
      </c>
    </row>
    <row r="9" ht="20" customHeight="1" spans="2:20" x14ac:dyDescent="0.25">
      <c r="B9" s="21">
        <f>DATE(CalYear,1,1)-WEEKDAY(DATE(CalYear,1,1),WeekType)+1+14</f>
        <v>46398</v>
      </c>
      <c r="C9" s="21">
        <f>DATE(CalYear,1,1)-WEEKDAY(DATE(CalYear,1,1),WeekType)+1+15</f>
        <v>46399</v>
      </c>
      <c r="D9" s="21">
        <f>DATE(CalYear,1,1)-WEEKDAY(DATE(CalYear,1,1),WeekType)+1+16</f>
        <v>46400</v>
      </c>
      <c r="E9" s="21">
        <f>DATE(CalYear,1,1)-WEEKDAY(DATE(CalYear,1,1),WeekType)+1+17</f>
        <v>46401</v>
      </c>
      <c r="F9" s="21">
        <f>DATE(CalYear,1,1)-WEEKDAY(DATE(CalYear,1,1),WeekType)+1+18</f>
        <v>46402</v>
      </c>
      <c r="G9" s="21">
        <f>DATE(CalYear,1,1)-WEEKDAY(DATE(CalYear,1,1),WeekType)+1+19</f>
        <v>46403</v>
      </c>
      <c r="H9" s="21">
        <f>DATE(CalYear,1,1)-WEEKDAY(DATE(CalYear,1,1),WeekType)+1+20</f>
        <v>46404</v>
      </c>
      <c r="J9" s="22" t="str">
        <f>IFERROR(INDEX(HolDate,MATCH(105,HolKey,0)),"")</f>
        <v/>
      </c>
      <c r="K9" s="23" t="str">
        <f>IFERROR(INDEX(HolName,MATCH(105,HolKey,0)),"")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IFERROR(INDEX(HolDate,MATCH(106,HolKey,0)),"")</f>
        <v/>
      </c>
      <c r="K10" s="23" t="str">
        <f>IFERROR(INDEX(HolName,MATCH(106,HolKey,0)),"")</f>
        <v/>
      </c>
    </row>
    <row r="11" ht="20" customHeight="1" spans="2:20" x14ac:dyDescent="0.25">
      <c r="B11" s="21">
        <f>DATE(CalYear,1,1)-WEEKDAY(DATE(CalYear,1,1),WeekType)+1+21</f>
        <v>46405</v>
      </c>
      <c r="C11" s="21">
        <f>DATE(CalYear,1,1)-WEEKDAY(DATE(CalYear,1,1),WeekType)+1+22</f>
        <v>46406</v>
      </c>
      <c r="D11" s="21">
        <f>DATE(CalYear,1,1)-WEEKDAY(DATE(CalYear,1,1),WeekType)+1+23</f>
        <v>46407</v>
      </c>
      <c r="E11" s="21">
        <f>DATE(CalYear,1,1)-WEEKDAY(DATE(CalYear,1,1),WeekType)+1+24</f>
        <v>46408</v>
      </c>
      <c r="F11" s="21">
        <f>DATE(CalYear,1,1)-WEEKDAY(DATE(CalYear,1,1),WeekType)+1+25</f>
        <v>46409</v>
      </c>
      <c r="G11" s="21">
        <f>DATE(CalYear,1,1)-WEEKDAY(DATE(CalYear,1,1),WeekType)+1+26</f>
        <v>46410</v>
      </c>
      <c r="H11" s="21">
        <f>DATE(CalYear,1,1)-WEEKDAY(DATE(CalYear,1,1),WeekType)+1+27</f>
        <v>46411</v>
      </c>
      <c r="J11" s="22" t="str">
        <f>IFERROR(INDEX(HolDate,MATCH(107,HolKey,0)),"")</f>
        <v/>
      </c>
      <c r="K11" s="23" t="str">
        <f>IFERROR(INDEX(HolName,MATCH(107,HolKey,0)),"")</f>
        <v/>
      </c>
      <c r="N11">
        <f>IF(COUNTIF(HolShownDate,B11)&gt;0,1,0)</f>
        <v>1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IFERROR(INDEX(HolDate,MATCH(108,HolKey,0)),"")</f>
        <v/>
      </c>
      <c r="K12" s="23" t="str">
        <f>IFERROR(INDEX(HolName,MATCH(108,HolKey,0)),"")</f>
        <v/>
      </c>
    </row>
    <row r="13" ht="20" customHeight="1" spans="2:20" x14ac:dyDescent="0.25">
      <c r="B13" s="21">
        <f>DATE(CalYear,1,1)-WEEKDAY(DATE(CalYear,1,1),WeekType)+1+28</f>
        <v>46412</v>
      </c>
      <c r="C13" s="21">
        <f>DATE(CalYear,1,1)-WEEKDAY(DATE(CalYear,1,1),WeekType)+1+29</f>
        <v>46413</v>
      </c>
      <c r="D13" s="21">
        <f>DATE(CalYear,1,1)-WEEKDAY(DATE(CalYear,1,1),WeekType)+1+30</f>
        <v>46414</v>
      </c>
      <c r="E13" s="21">
        <f>DATE(CalYear,1,1)-WEEKDAY(DATE(CalYear,1,1),WeekType)+1+31</f>
        <v>46415</v>
      </c>
      <c r="F13" s="21">
        <f>DATE(CalYear,1,1)-WEEKDAY(DATE(CalYear,1,1),WeekType)+1+32</f>
        <v>46416</v>
      </c>
      <c r="G13" s="21">
        <f>DATE(CalYear,1,1)-WEEKDAY(DATE(CalYear,1,1),WeekType)+1+33</f>
        <v>46417</v>
      </c>
      <c r="H13" s="21">
        <f>DATE(CalYear,1,1)-WEEKDAY(DATE(CalYear,1,1),WeekType)+1+34</f>
        <v>46418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DATE(CalYear,1,1)-WEEKDAY(DATE(CalYear,1,1),WeekType)+1+35</f>
        <v>46419</v>
      </c>
      <c r="C15" s="21">
        <f>DATE(CalYear,1,1)-WEEKDAY(DATE(CalYear,1,1),WeekType)+1+36</f>
        <v>46420</v>
      </c>
      <c r="D15" s="21">
        <f>DATE(CalYear,1,1)-WEEKDAY(DATE(CalYear,1,1),WeekType)+1+37</f>
        <v>46421</v>
      </c>
      <c r="E15" s="21">
        <f>DATE(CalYear,1,1)-WEEKDAY(DATE(CalYear,1,1),WeekType)+1+38</f>
        <v>46422</v>
      </c>
      <c r="F15" s="21">
        <f>DATE(CalYear,1,1)-WEEKDAY(DATE(CalYear,1,1),WeekType)+1+39</f>
        <v>46423</v>
      </c>
      <c r="G15" s="21">
        <f>DATE(CalYear,1,1)-WEEKDAY(DATE(CalYear,1,1),WeekType)+1+40</f>
        <v>46424</v>
      </c>
      <c r="H15" s="21">
        <f>DATE(CalYear,1,1)-WEEKDAY(DATE(CalYear,1,1),WeekType)+1+41</f>
        <v>46425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288" priority="1">
      <formula>MONTH(B5)&lt;&gt;1</formula>
    </cfRule>
  </conditionalFormatting>
  <conditionalFormatting sqref="B5:H5">
    <cfRule type="expression" dxfId="289" priority="2">
      <formula>B5=TODAY()</formula>
    </cfRule>
  </conditionalFormatting>
  <conditionalFormatting sqref="B5:H5">
    <cfRule type="expression" dxfId="290" priority="3">
      <formula>N5=1</formula>
    </cfRule>
  </conditionalFormatting>
  <conditionalFormatting sqref="B5:H5">
    <cfRule type="expression" dxfId="291" priority="4">
      <formula>WEEKDAY(B5,2)&gt;5</formula>
    </cfRule>
  </conditionalFormatting>
  <conditionalFormatting sqref="B7:H7">
    <cfRule type="expression" dxfId="292" priority="1">
      <formula>MONTH(B7)&lt;&gt;1</formula>
    </cfRule>
  </conditionalFormatting>
  <conditionalFormatting sqref="B7:H7">
    <cfRule type="expression" dxfId="293" priority="2">
      <formula>B7=TODAY()</formula>
    </cfRule>
  </conditionalFormatting>
  <conditionalFormatting sqref="B7:H7">
    <cfRule type="expression" dxfId="294" priority="3">
      <formula>N7=1</formula>
    </cfRule>
  </conditionalFormatting>
  <conditionalFormatting sqref="B7:H7">
    <cfRule type="expression" dxfId="295" priority="4">
      <formula>WEEKDAY(B7,2)&gt;5</formula>
    </cfRule>
  </conditionalFormatting>
  <conditionalFormatting sqref="B9:H9">
    <cfRule type="expression" dxfId="296" priority="1">
      <formula>MONTH(B9)&lt;&gt;1</formula>
    </cfRule>
  </conditionalFormatting>
  <conditionalFormatting sqref="B9:H9">
    <cfRule type="expression" dxfId="297" priority="2">
      <formula>B9=TODAY()</formula>
    </cfRule>
  </conditionalFormatting>
  <conditionalFormatting sqref="B9:H9">
    <cfRule type="expression" dxfId="298" priority="3">
      <formula>N9=1</formula>
    </cfRule>
  </conditionalFormatting>
  <conditionalFormatting sqref="B9:H9">
    <cfRule type="expression" dxfId="299" priority="4">
      <formula>WEEKDAY(B9,2)&gt;5</formula>
    </cfRule>
  </conditionalFormatting>
  <conditionalFormatting sqref="B11:H11">
    <cfRule type="expression" dxfId="300" priority="1">
      <formula>MONTH(B11)&lt;&gt;1</formula>
    </cfRule>
  </conditionalFormatting>
  <conditionalFormatting sqref="B11:H11">
    <cfRule type="expression" dxfId="301" priority="2">
      <formula>B11=TODAY()</formula>
    </cfRule>
  </conditionalFormatting>
  <conditionalFormatting sqref="B11:H11">
    <cfRule type="expression" dxfId="302" priority="3">
      <formula>N11=1</formula>
    </cfRule>
  </conditionalFormatting>
  <conditionalFormatting sqref="B11:H11">
    <cfRule type="expression" dxfId="303" priority="4">
      <formula>WEEKDAY(B11,2)&gt;5</formula>
    </cfRule>
  </conditionalFormatting>
  <conditionalFormatting sqref="B13:H13">
    <cfRule type="expression" dxfId="304" priority="1">
      <formula>MONTH(B13)&lt;&gt;1</formula>
    </cfRule>
  </conditionalFormatting>
  <conditionalFormatting sqref="B13:H13">
    <cfRule type="expression" dxfId="305" priority="2">
      <formula>B13=TODAY()</formula>
    </cfRule>
  </conditionalFormatting>
  <conditionalFormatting sqref="B13:H13">
    <cfRule type="expression" dxfId="306" priority="3">
      <formula>N13=1</formula>
    </cfRule>
  </conditionalFormatting>
  <conditionalFormatting sqref="B13:H13">
    <cfRule type="expression" dxfId="307" priority="4">
      <formula>WEEKDAY(B13,2)&gt;5</formula>
    </cfRule>
  </conditionalFormatting>
  <conditionalFormatting sqref="B15:H15">
    <cfRule type="expression" dxfId="308" priority="1">
      <formula>MONTH(B15)&lt;&gt;1</formula>
    </cfRule>
  </conditionalFormatting>
  <conditionalFormatting sqref="B15:H15">
    <cfRule type="expression" dxfId="309" priority="2">
      <formula>B15=TODAY()</formula>
    </cfRule>
  </conditionalFormatting>
  <conditionalFormatting sqref="B15:H15">
    <cfRule type="expression" dxfId="310" priority="3">
      <formula>N15=1</formula>
    </cfRule>
  </conditionalFormatting>
  <conditionalFormatting sqref="B15:H15">
    <cfRule type="expression" dxfId="31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INDEX(MonthNames,2)&amp;" "&amp;CalYear</f>
        <v>February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DATE(CalYear,2,1)-WEEKDAY(DATE(CalYear,2,1),WeekType)+1+0</f>
        <v>46419</v>
      </c>
      <c r="C5" s="21">
        <f>DATE(CalYear,2,1)-WEEKDAY(DATE(CalYear,2,1),WeekType)+1+1</f>
        <v>46420</v>
      </c>
      <c r="D5" s="21">
        <f>DATE(CalYear,2,1)-WEEKDAY(DATE(CalYear,2,1),WeekType)+1+2</f>
        <v>46421</v>
      </c>
      <c r="E5" s="21">
        <f>DATE(CalYear,2,1)-WEEKDAY(DATE(CalYear,2,1),WeekType)+1+3</f>
        <v>46422</v>
      </c>
      <c r="F5" s="21">
        <f>DATE(CalYear,2,1)-WEEKDAY(DATE(CalYear,2,1),WeekType)+1+4</f>
        <v>46423</v>
      </c>
      <c r="G5" s="21">
        <f>DATE(CalYear,2,1)-WEEKDAY(DATE(CalYear,2,1),WeekType)+1+5</f>
        <v>46424</v>
      </c>
      <c r="H5" s="21">
        <f>DATE(CalYear,2,1)-WEEKDAY(DATE(CalYear,2,1),WeekType)+1+6</f>
        <v>46425</v>
      </c>
      <c r="J5" s="22">
        <f>IFERROR(INDEX(HolDate,MATCH(201,HolKey,0)),"")</f>
        <v>46433</v>
      </c>
      <c r="K5" s="23" t="str">
        <f>IFERROR(INDEX(HolName,MATCH(201,HolKey,0)),"")</f>
        <v>Washington's Birthday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IFERROR(INDEX(HolDate,MATCH(202,HolKey,0)),"")</f>
        <v/>
      </c>
      <c r="K6" s="23" t="str">
        <f>IFERROR(INDEX(HolName,MATCH(202,HolKey,0)),"")</f>
        <v/>
      </c>
    </row>
    <row r="7" ht="20" customHeight="1" spans="2:20" x14ac:dyDescent="0.25">
      <c r="B7" s="21">
        <f>DATE(CalYear,2,1)-WEEKDAY(DATE(CalYear,2,1),WeekType)+1+7</f>
        <v>46426</v>
      </c>
      <c r="C7" s="21">
        <f>DATE(CalYear,2,1)-WEEKDAY(DATE(CalYear,2,1),WeekType)+1+8</f>
        <v>46427</v>
      </c>
      <c r="D7" s="21">
        <f>DATE(CalYear,2,1)-WEEKDAY(DATE(CalYear,2,1),WeekType)+1+9</f>
        <v>46428</v>
      </c>
      <c r="E7" s="21">
        <f>DATE(CalYear,2,1)-WEEKDAY(DATE(CalYear,2,1),WeekType)+1+10</f>
        <v>46429</v>
      </c>
      <c r="F7" s="21">
        <f>DATE(CalYear,2,1)-WEEKDAY(DATE(CalYear,2,1),WeekType)+1+11</f>
        <v>46430</v>
      </c>
      <c r="G7" s="21">
        <f>DATE(CalYear,2,1)-WEEKDAY(DATE(CalYear,2,1),WeekType)+1+12</f>
        <v>46431</v>
      </c>
      <c r="H7" s="21">
        <f>DATE(CalYear,2,1)-WEEKDAY(DATE(CalYear,2,1),WeekType)+1+13</f>
        <v>46432</v>
      </c>
      <c r="J7" s="22" t="str">
        <f>IFERROR(INDEX(HolDate,MATCH(203,HolKey,0)),"")</f>
        <v/>
      </c>
      <c r="K7" s="23" t="str">
        <f>IFERROR(INDEX(HolName,MATCH(203,HolKey,0)),"")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IFERROR(INDEX(HolDate,MATCH(204,HolKey,0)),"")</f>
        <v/>
      </c>
      <c r="K8" s="23" t="str">
        <f>IFERROR(INDEX(HolName,MATCH(204,HolKey,0)),"")</f>
        <v/>
      </c>
    </row>
    <row r="9" ht="20" customHeight="1" spans="2:20" x14ac:dyDescent="0.25">
      <c r="B9" s="21">
        <f>DATE(CalYear,2,1)-WEEKDAY(DATE(CalYear,2,1),WeekType)+1+14</f>
        <v>46433</v>
      </c>
      <c r="C9" s="21">
        <f>DATE(CalYear,2,1)-WEEKDAY(DATE(CalYear,2,1),WeekType)+1+15</f>
        <v>46434</v>
      </c>
      <c r="D9" s="21">
        <f>DATE(CalYear,2,1)-WEEKDAY(DATE(CalYear,2,1),WeekType)+1+16</f>
        <v>46435</v>
      </c>
      <c r="E9" s="21">
        <f>DATE(CalYear,2,1)-WEEKDAY(DATE(CalYear,2,1),WeekType)+1+17</f>
        <v>46436</v>
      </c>
      <c r="F9" s="21">
        <f>DATE(CalYear,2,1)-WEEKDAY(DATE(CalYear,2,1),WeekType)+1+18</f>
        <v>46437</v>
      </c>
      <c r="G9" s="21">
        <f>DATE(CalYear,2,1)-WEEKDAY(DATE(CalYear,2,1),WeekType)+1+19</f>
        <v>46438</v>
      </c>
      <c r="H9" s="21">
        <f>DATE(CalYear,2,1)-WEEKDAY(DATE(CalYear,2,1),WeekType)+1+20</f>
        <v>46439</v>
      </c>
      <c r="J9" s="22" t="str">
        <f>IFERROR(INDEX(HolDate,MATCH(205,HolKey,0)),"")</f>
        <v/>
      </c>
      <c r="K9" s="23" t="str">
        <f>IFERROR(INDEX(HolName,MATCH(205,HolKey,0)),"")</f>
        <v/>
      </c>
      <c r="N9">
        <f>IF(COUNTIF(HolShownDate,B9)&gt;0,1,0)</f>
        <v>1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IFERROR(INDEX(HolDate,MATCH(206,HolKey,0)),"")</f>
        <v/>
      </c>
      <c r="K10" s="23" t="str">
        <f>IFERROR(INDEX(HolName,MATCH(206,HolKey,0)),"")</f>
        <v/>
      </c>
    </row>
    <row r="11" ht="20" customHeight="1" spans="2:20" x14ac:dyDescent="0.25">
      <c r="B11" s="21">
        <f>DATE(CalYear,2,1)-WEEKDAY(DATE(CalYear,2,1),WeekType)+1+21</f>
        <v>46440</v>
      </c>
      <c r="C11" s="21">
        <f>DATE(CalYear,2,1)-WEEKDAY(DATE(CalYear,2,1),WeekType)+1+22</f>
        <v>46441</v>
      </c>
      <c r="D11" s="21">
        <f>DATE(CalYear,2,1)-WEEKDAY(DATE(CalYear,2,1),WeekType)+1+23</f>
        <v>46442</v>
      </c>
      <c r="E11" s="21">
        <f>DATE(CalYear,2,1)-WEEKDAY(DATE(CalYear,2,1),WeekType)+1+24</f>
        <v>46443</v>
      </c>
      <c r="F11" s="21">
        <f>DATE(CalYear,2,1)-WEEKDAY(DATE(CalYear,2,1),WeekType)+1+25</f>
        <v>46444</v>
      </c>
      <c r="G11" s="21">
        <f>DATE(CalYear,2,1)-WEEKDAY(DATE(CalYear,2,1),WeekType)+1+26</f>
        <v>46445</v>
      </c>
      <c r="H11" s="21">
        <f>DATE(CalYear,2,1)-WEEKDAY(DATE(CalYear,2,1),WeekType)+1+27</f>
        <v>46446</v>
      </c>
      <c r="J11" s="22" t="str">
        <f>IFERROR(INDEX(HolDate,MATCH(207,HolKey,0)),"")</f>
        <v/>
      </c>
      <c r="K11" s="23" t="str">
        <f>IFERROR(INDEX(HolName,MATCH(207,HolKey,0)),"")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IFERROR(INDEX(HolDate,MATCH(208,HolKey,0)),"")</f>
        <v/>
      </c>
      <c r="K12" s="23" t="str">
        <f>IFERROR(INDEX(HolName,MATCH(208,HolKey,0)),"")</f>
        <v/>
      </c>
    </row>
    <row r="13" ht="20" customHeight="1" spans="2:20" x14ac:dyDescent="0.25">
      <c r="B13" s="21">
        <f>DATE(CalYear,2,1)-WEEKDAY(DATE(CalYear,2,1),WeekType)+1+28</f>
        <v>46447</v>
      </c>
      <c r="C13" s="21">
        <f>DATE(CalYear,2,1)-WEEKDAY(DATE(CalYear,2,1),WeekType)+1+29</f>
        <v>46448</v>
      </c>
      <c r="D13" s="21">
        <f>DATE(CalYear,2,1)-WEEKDAY(DATE(CalYear,2,1),WeekType)+1+30</f>
        <v>46449</v>
      </c>
      <c r="E13" s="21">
        <f>DATE(CalYear,2,1)-WEEKDAY(DATE(CalYear,2,1),WeekType)+1+31</f>
        <v>46450</v>
      </c>
      <c r="F13" s="21">
        <f>DATE(CalYear,2,1)-WEEKDAY(DATE(CalYear,2,1),WeekType)+1+32</f>
        <v>46451</v>
      </c>
      <c r="G13" s="21">
        <f>DATE(CalYear,2,1)-WEEKDAY(DATE(CalYear,2,1),WeekType)+1+33</f>
        <v>46452</v>
      </c>
      <c r="H13" s="21">
        <f>DATE(CalYear,2,1)-WEEKDAY(DATE(CalYear,2,1),WeekType)+1+34</f>
        <v>46453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DATE(CalYear,2,1)-WEEKDAY(DATE(CalYear,2,1),WeekType)+1+35</f>
        <v>46454</v>
      </c>
      <c r="C15" s="21">
        <f>DATE(CalYear,2,1)-WEEKDAY(DATE(CalYear,2,1),WeekType)+1+36</f>
        <v>46455</v>
      </c>
      <c r="D15" s="21">
        <f>DATE(CalYear,2,1)-WEEKDAY(DATE(CalYear,2,1),WeekType)+1+37</f>
        <v>46456</v>
      </c>
      <c r="E15" s="21">
        <f>DATE(CalYear,2,1)-WEEKDAY(DATE(CalYear,2,1),WeekType)+1+38</f>
        <v>46457</v>
      </c>
      <c r="F15" s="21">
        <f>DATE(CalYear,2,1)-WEEKDAY(DATE(CalYear,2,1),WeekType)+1+39</f>
        <v>46458</v>
      </c>
      <c r="G15" s="21">
        <f>DATE(CalYear,2,1)-WEEKDAY(DATE(CalYear,2,1),WeekType)+1+40</f>
        <v>46459</v>
      </c>
      <c r="H15" s="21">
        <f>DATE(CalYear,2,1)-WEEKDAY(DATE(CalYear,2,1),WeekType)+1+41</f>
        <v>46460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12" priority="1">
      <formula>MONTH(B5)&lt;&gt;2</formula>
    </cfRule>
  </conditionalFormatting>
  <conditionalFormatting sqref="B5:H5">
    <cfRule type="expression" dxfId="313" priority="2">
      <formula>B5=TODAY()</formula>
    </cfRule>
  </conditionalFormatting>
  <conditionalFormatting sqref="B5:H5">
    <cfRule type="expression" dxfId="314" priority="3">
      <formula>N5=1</formula>
    </cfRule>
  </conditionalFormatting>
  <conditionalFormatting sqref="B5:H5">
    <cfRule type="expression" dxfId="315" priority="4">
      <formula>WEEKDAY(B5,2)&gt;5</formula>
    </cfRule>
  </conditionalFormatting>
  <conditionalFormatting sqref="B7:H7">
    <cfRule type="expression" dxfId="316" priority="1">
      <formula>MONTH(B7)&lt;&gt;2</formula>
    </cfRule>
  </conditionalFormatting>
  <conditionalFormatting sqref="B7:H7">
    <cfRule type="expression" dxfId="317" priority="2">
      <formula>B7=TODAY()</formula>
    </cfRule>
  </conditionalFormatting>
  <conditionalFormatting sqref="B7:H7">
    <cfRule type="expression" dxfId="318" priority="3">
      <formula>N7=1</formula>
    </cfRule>
  </conditionalFormatting>
  <conditionalFormatting sqref="B7:H7">
    <cfRule type="expression" dxfId="319" priority="4">
      <formula>WEEKDAY(B7,2)&gt;5</formula>
    </cfRule>
  </conditionalFormatting>
  <conditionalFormatting sqref="B9:H9">
    <cfRule type="expression" dxfId="320" priority="1">
      <formula>MONTH(B9)&lt;&gt;2</formula>
    </cfRule>
  </conditionalFormatting>
  <conditionalFormatting sqref="B9:H9">
    <cfRule type="expression" dxfId="321" priority="2">
      <formula>B9=TODAY()</formula>
    </cfRule>
  </conditionalFormatting>
  <conditionalFormatting sqref="B9:H9">
    <cfRule type="expression" dxfId="322" priority="3">
      <formula>N9=1</formula>
    </cfRule>
  </conditionalFormatting>
  <conditionalFormatting sqref="B9:H9">
    <cfRule type="expression" dxfId="323" priority="4">
      <formula>WEEKDAY(B9,2)&gt;5</formula>
    </cfRule>
  </conditionalFormatting>
  <conditionalFormatting sqref="B11:H11">
    <cfRule type="expression" dxfId="324" priority="1">
      <formula>MONTH(B11)&lt;&gt;2</formula>
    </cfRule>
  </conditionalFormatting>
  <conditionalFormatting sqref="B11:H11">
    <cfRule type="expression" dxfId="325" priority="2">
      <formula>B11=TODAY()</formula>
    </cfRule>
  </conditionalFormatting>
  <conditionalFormatting sqref="B11:H11">
    <cfRule type="expression" dxfId="326" priority="3">
      <formula>N11=1</formula>
    </cfRule>
  </conditionalFormatting>
  <conditionalFormatting sqref="B11:H11">
    <cfRule type="expression" dxfId="327" priority="4">
      <formula>WEEKDAY(B11,2)&gt;5</formula>
    </cfRule>
  </conditionalFormatting>
  <conditionalFormatting sqref="B13:H13">
    <cfRule type="expression" dxfId="328" priority="1">
      <formula>MONTH(B13)&lt;&gt;2</formula>
    </cfRule>
  </conditionalFormatting>
  <conditionalFormatting sqref="B13:H13">
    <cfRule type="expression" dxfId="329" priority="2">
      <formula>B13=TODAY()</formula>
    </cfRule>
  </conditionalFormatting>
  <conditionalFormatting sqref="B13:H13">
    <cfRule type="expression" dxfId="330" priority="3">
      <formula>N13=1</formula>
    </cfRule>
  </conditionalFormatting>
  <conditionalFormatting sqref="B13:H13">
    <cfRule type="expression" dxfId="331" priority="4">
      <formula>WEEKDAY(B13,2)&gt;5</formula>
    </cfRule>
  </conditionalFormatting>
  <conditionalFormatting sqref="B15:H15">
    <cfRule type="expression" dxfId="332" priority="1">
      <formula>MONTH(B15)&lt;&gt;2</formula>
    </cfRule>
  </conditionalFormatting>
  <conditionalFormatting sqref="B15:H15">
    <cfRule type="expression" dxfId="333" priority="2">
      <formula>B15=TODAY()</formula>
    </cfRule>
  </conditionalFormatting>
  <conditionalFormatting sqref="B15:H15">
    <cfRule type="expression" dxfId="334" priority="3">
      <formula>N15=1</formula>
    </cfRule>
  </conditionalFormatting>
  <conditionalFormatting sqref="B15:H15">
    <cfRule type="expression" dxfId="33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INDEX(MonthNames,3)&amp;" "&amp;CalYear</f>
        <v>March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DATE(CalYear,3,1)-WEEKDAY(DATE(CalYear,3,1),WeekType)+1+0</f>
        <v>46447</v>
      </c>
      <c r="C5" s="21">
        <f>DATE(CalYear,3,1)-WEEKDAY(DATE(CalYear,3,1),WeekType)+1+1</f>
        <v>46448</v>
      </c>
      <c r="D5" s="21">
        <f>DATE(CalYear,3,1)-WEEKDAY(DATE(CalYear,3,1),WeekType)+1+2</f>
        <v>46449</v>
      </c>
      <c r="E5" s="21">
        <f>DATE(CalYear,3,1)-WEEKDAY(DATE(CalYear,3,1),WeekType)+1+3</f>
        <v>46450</v>
      </c>
      <c r="F5" s="21">
        <f>DATE(CalYear,3,1)-WEEKDAY(DATE(CalYear,3,1),WeekType)+1+4</f>
        <v>46451</v>
      </c>
      <c r="G5" s="21">
        <f>DATE(CalYear,3,1)-WEEKDAY(DATE(CalYear,3,1),WeekType)+1+5</f>
        <v>46452</v>
      </c>
      <c r="H5" s="21">
        <f>DATE(CalYear,3,1)-WEEKDAY(DATE(CalYear,3,1),WeekType)+1+6</f>
        <v>46453</v>
      </c>
      <c r="J5" s="22" t="str">
        <f>IFERROR(INDEX(HolDate,MATCH(301,HolKey,0)),"")</f>
        <v/>
      </c>
      <c r="K5" s="23" t="str">
        <f>IFERROR(INDEX(HolName,MATCH(301,HolKey,0)),"")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IFERROR(INDEX(HolDate,MATCH(302,HolKey,0)),"")</f>
        <v/>
      </c>
      <c r="K6" s="23" t="str">
        <f>IFERROR(INDEX(HolName,MATCH(302,HolKey,0)),"")</f>
        <v/>
      </c>
    </row>
    <row r="7" ht="20" customHeight="1" spans="2:20" x14ac:dyDescent="0.25">
      <c r="B7" s="21">
        <f>DATE(CalYear,3,1)-WEEKDAY(DATE(CalYear,3,1),WeekType)+1+7</f>
        <v>46454</v>
      </c>
      <c r="C7" s="21">
        <f>DATE(CalYear,3,1)-WEEKDAY(DATE(CalYear,3,1),WeekType)+1+8</f>
        <v>46455</v>
      </c>
      <c r="D7" s="21">
        <f>DATE(CalYear,3,1)-WEEKDAY(DATE(CalYear,3,1),WeekType)+1+9</f>
        <v>46456</v>
      </c>
      <c r="E7" s="21">
        <f>DATE(CalYear,3,1)-WEEKDAY(DATE(CalYear,3,1),WeekType)+1+10</f>
        <v>46457</v>
      </c>
      <c r="F7" s="21">
        <f>DATE(CalYear,3,1)-WEEKDAY(DATE(CalYear,3,1),WeekType)+1+11</f>
        <v>46458</v>
      </c>
      <c r="G7" s="21">
        <f>DATE(CalYear,3,1)-WEEKDAY(DATE(CalYear,3,1),WeekType)+1+12</f>
        <v>46459</v>
      </c>
      <c r="H7" s="21">
        <f>DATE(CalYear,3,1)-WEEKDAY(DATE(CalYear,3,1),WeekType)+1+13</f>
        <v>46460</v>
      </c>
      <c r="J7" s="22" t="str">
        <f>IFERROR(INDEX(HolDate,MATCH(303,HolKey,0)),"")</f>
        <v/>
      </c>
      <c r="K7" s="23" t="str">
        <f>IFERROR(INDEX(HolName,MATCH(303,HolKey,0)),"")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IFERROR(INDEX(HolDate,MATCH(304,HolKey,0)),"")</f>
        <v/>
      </c>
      <c r="K8" s="23" t="str">
        <f>IFERROR(INDEX(HolName,MATCH(304,HolKey,0)),"")</f>
        <v/>
      </c>
    </row>
    <row r="9" ht="20" customHeight="1" spans="2:20" x14ac:dyDescent="0.25">
      <c r="B9" s="21">
        <f>DATE(CalYear,3,1)-WEEKDAY(DATE(CalYear,3,1),WeekType)+1+14</f>
        <v>46461</v>
      </c>
      <c r="C9" s="21">
        <f>DATE(CalYear,3,1)-WEEKDAY(DATE(CalYear,3,1),WeekType)+1+15</f>
        <v>46462</v>
      </c>
      <c r="D9" s="21">
        <f>DATE(CalYear,3,1)-WEEKDAY(DATE(CalYear,3,1),WeekType)+1+16</f>
        <v>46463</v>
      </c>
      <c r="E9" s="21">
        <f>DATE(CalYear,3,1)-WEEKDAY(DATE(CalYear,3,1),WeekType)+1+17</f>
        <v>46464</v>
      </c>
      <c r="F9" s="21">
        <f>DATE(CalYear,3,1)-WEEKDAY(DATE(CalYear,3,1),WeekType)+1+18</f>
        <v>46465</v>
      </c>
      <c r="G9" s="21">
        <f>DATE(CalYear,3,1)-WEEKDAY(DATE(CalYear,3,1),WeekType)+1+19</f>
        <v>46466</v>
      </c>
      <c r="H9" s="21">
        <f>DATE(CalYear,3,1)-WEEKDAY(DATE(CalYear,3,1),WeekType)+1+20</f>
        <v>46467</v>
      </c>
      <c r="J9" s="22" t="str">
        <f>IFERROR(INDEX(HolDate,MATCH(305,HolKey,0)),"")</f>
        <v/>
      </c>
      <c r="K9" s="23" t="str">
        <f>IFERROR(INDEX(HolName,MATCH(305,HolKey,0)),"")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IFERROR(INDEX(HolDate,MATCH(306,HolKey,0)),"")</f>
        <v/>
      </c>
      <c r="K10" s="23" t="str">
        <f>IFERROR(INDEX(HolName,MATCH(306,HolKey,0)),"")</f>
        <v/>
      </c>
    </row>
    <row r="11" ht="20" customHeight="1" spans="2:20" x14ac:dyDescent="0.25">
      <c r="B11" s="21">
        <f>DATE(CalYear,3,1)-WEEKDAY(DATE(CalYear,3,1),WeekType)+1+21</f>
        <v>46468</v>
      </c>
      <c r="C11" s="21">
        <f>DATE(CalYear,3,1)-WEEKDAY(DATE(CalYear,3,1),WeekType)+1+22</f>
        <v>46469</v>
      </c>
      <c r="D11" s="21">
        <f>DATE(CalYear,3,1)-WEEKDAY(DATE(CalYear,3,1),WeekType)+1+23</f>
        <v>46470</v>
      </c>
      <c r="E11" s="21">
        <f>DATE(CalYear,3,1)-WEEKDAY(DATE(CalYear,3,1),WeekType)+1+24</f>
        <v>46471</v>
      </c>
      <c r="F11" s="21">
        <f>DATE(CalYear,3,1)-WEEKDAY(DATE(CalYear,3,1),WeekType)+1+25</f>
        <v>46472</v>
      </c>
      <c r="G11" s="21">
        <f>DATE(CalYear,3,1)-WEEKDAY(DATE(CalYear,3,1),WeekType)+1+26</f>
        <v>46473</v>
      </c>
      <c r="H11" s="21">
        <f>DATE(CalYear,3,1)-WEEKDAY(DATE(CalYear,3,1),WeekType)+1+27</f>
        <v>46474</v>
      </c>
      <c r="J11" s="22" t="str">
        <f>IFERROR(INDEX(HolDate,MATCH(307,HolKey,0)),"")</f>
        <v/>
      </c>
      <c r="K11" s="23" t="str">
        <f>IFERROR(INDEX(HolName,MATCH(307,HolKey,0)),"")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IFERROR(INDEX(HolDate,MATCH(308,HolKey,0)),"")</f>
        <v/>
      </c>
      <c r="K12" s="23" t="str">
        <f>IFERROR(INDEX(HolName,MATCH(308,HolKey,0)),"")</f>
        <v/>
      </c>
    </row>
    <row r="13" ht="20" customHeight="1" spans="2:20" x14ac:dyDescent="0.25">
      <c r="B13" s="21">
        <f>DATE(CalYear,3,1)-WEEKDAY(DATE(CalYear,3,1),WeekType)+1+28</f>
        <v>46475</v>
      </c>
      <c r="C13" s="21">
        <f>DATE(CalYear,3,1)-WEEKDAY(DATE(CalYear,3,1),WeekType)+1+29</f>
        <v>46476</v>
      </c>
      <c r="D13" s="21">
        <f>DATE(CalYear,3,1)-WEEKDAY(DATE(CalYear,3,1),WeekType)+1+30</f>
        <v>46477</v>
      </c>
      <c r="E13" s="21">
        <f>DATE(CalYear,3,1)-WEEKDAY(DATE(CalYear,3,1),WeekType)+1+31</f>
        <v>46478</v>
      </c>
      <c r="F13" s="21">
        <f>DATE(CalYear,3,1)-WEEKDAY(DATE(CalYear,3,1),WeekType)+1+32</f>
        <v>46479</v>
      </c>
      <c r="G13" s="21">
        <f>DATE(CalYear,3,1)-WEEKDAY(DATE(CalYear,3,1),WeekType)+1+33</f>
        <v>46480</v>
      </c>
      <c r="H13" s="21">
        <f>DATE(CalYear,3,1)-WEEKDAY(DATE(CalYear,3,1),WeekType)+1+34</f>
        <v>46481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DATE(CalYear,3,1)-WEEKDAY(DATE(CalYear,3,1),WeekType)+1+35</f>
        <v>46482</v>
      </c>
      <c r="C15" s="21">
        <f>DATE(CalYear,3,1)-WEEKDAY(DATE(CalYear,3,1),WeekType)+1+36</f>
        <v>46483</v>
      </c>
      <c r="D15" s="21">
        <f>DATE(CalYear,3,1)-WEEKDAY(DATE(CalYear,3,1),WeekType)+1+37</f>
        <v>46484</v>
      </c>
      <c r="E15" s="21">
        <f>DATE(CalYear,3,1)-WEEKDAY(DATE(CalYear,3,1),WeekType)+1+38</f>
        <v>46485</v>
      </c>
      <c r="F15" s="21">
        <f>DATE(CalYear,3,1)-WEEKDAY(DATE(CalYear,3,1),WeekType)+1+39</f>
        <v>46486</v>
      </c>
      <c r="G15" s="21">
        <f>DATE(CalYear,3,1)-WEEKDAY(DATE(CalYear,3,1),WeekType)+1+40</f>
        <v>46487</v>
      </c>
      <c r="H15" s="21">
        <f>DATE(CalYear,3,1)-WEEKDAY(DATE(CalYear,3,1),WeekType)+1+41</f>
        <v>46488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36" priority="1">
      <formula>MONTH(B5)&lt;&gt;3</formula>
    </cfRule>
  </conditionalFormatting>
  <conditionalFormatting sqref="B5:H5">
    <cfRule type="expression" dxfId="337" priority="2">
      <formula>B5=TODAY()</formula>
    </cfRule>
  </conditionalFormatting>
  <conditionalFormatting sqref="B5:H5">
    <cfRule type="expression" dxfId="338" priority="3">
      <formula>N5=1</formula>
    </cfRule>
  </conditionalFormatting>
  <conditionalFormatting sqref="B5:H5">
    <cfRule type="expression" dxfId="339" priority="4">
      <formula>WEEKDAY(B5,2)&gt;5</formula>
    </cfRule>
  </conditionalFormatting>
  <conditionalFormatting sqref="B7:H7">
    <cfRule type="expression" dxfId="340" priority="1">
      <formula>MONTH(B7)&lt;&gt;3</formula>
    </cfRule>
  </conditionalFormatting>
  <conditionalFormatting sqref="B7:H7">
    <cfRule type="expression" dxfId="341" priority="2">
      <formula>B7=TODAY()</formula>
    </cfRule>
  </conditionalFormatting>
  <conditionalFormatting sqref="B7:H7">
    <cfRule type="expression" dxfId="342" priority="3">
      <formula>N7=1</formula>
    </cfRule>
  </conditionalFormatting>
  <conditionalFormatting sqref="B7:H7">
    <cfRule type="expression" dxfId="343" priority="4">
      <formula>WEEKDAY(B7,2)&gt;5</formula>
    </cfRule>
  </conditionalFormatting>
  <conditionalFormatting sqref="B9:H9">
    <cfRule type="expression" dxfId="344" priority="1">
      <formula>MONTH(B9)&lt;&gt;3</formula>
    </cfRule>
  </conditionalFormatting>
  <conditionalFormatting sqref="B9:H9">
    <cfRule type="expression" dxfId="345" priority="2">
      <formula>B9=TODAY()</formula>
    </cfRule>
  </conditionalFormatting>
  <conditionalFormatting sqref="B9:H9">
    <cfRule type="expression" dxfId="346" priority="3">
      <formula>N9=1</formula>
    </cfRule>
  </conditionalFormatting>
  <conditionalFormatting sqref="B9:H9">
    <cfRule type="expression" dxfId="347" priority="4">
      <formula>WEEKDAY(B9,2)&gt;5</formula>
    </cfRule>
  </conditionalFormatting>
  <conditionalFormatting sqref="B11:H11">
    <cfRule type="expression" dxfId="348" priority="1">
      <formula>MONTH(B11)&lt;&gt;3</formula>
    </cfRule>
  </conditionalFormatting>
  <conditionalFormatting sqref="B11:H11">
    <cfRule type="expression" dxfId="349" priority="2">
      <formula>B11=TODAY()</formula>
    </cfRule>
  </conditionalFormatting>
  <conditionalFormatting sqref="B11:H11">
    <cfRule type="expression" dxfId="350" priority="3">
      <formula>N11=1</formula>
    </cfRule>
  </conditionalFormatting>
  <conditionalFormatting sqref="B11:H11">
    <cfRule type="expression" dxfId="351" priority="4">
      <formula>WEEKDAY(B11,2)&gt;5</formula>
    </cfRule>
  </conditionalFormatting>
  <conditionalFormatting sqref="B13:H13">
    <cfRule type="expression" dxfId="352" priority="1">
      <formula>MONTH(B13)&lt;&gt;3</formula>
    </cfRule>
  </conditionalFormatting>
  <conditionalFormatting sqref="B13:H13">
    <cfRule type="expression" dxfId="353" priority="2">
      <formula>B13=TODAY()</formula>
    </cfRule>
  </conditionalFormatting>
  <conditionalFormatting sqref="B13:H13">
    <cfRule type="expression" dxfId="354" priority="3">
      <formula>N13=1</formula>
    </cfRule>
  </conditionalFormatting>
  <conditionalFormatting sqref="B13:H13">
    <cfRule type="expression" dxfId="355" priority="4">
      <formula>WEEKDAY(B13,2)&gt;5</formula>
    </cfRule>
  </conditionalFormatting>
  <conditionalFormatting sqref="B15:H15">
    <cfRule type="expression" dxfId="356" priority="1">
      <formula>MONTH(B15)&lt;&gt;3</formula>
    </cfRule>
  </conditionalFormatting>
  <conditionalFormatting sqref="B15:H15">
    <cfRule type="expression" dxfId="357" priority="2">
      <formula>B15=TODAY()</formula>
    </cfRule>
  </conditionalFormatting>
  <conditionalFormatting sqref="B15:H15">
    <cfRule type="expression" dxfId="358" priority="3">
      <formula>N15=1</formula>
    </cfRule>
  </conditionalFormatting>
  <conditionalFormatting sqref="B15:H15">
    <cfRule type="expression" dxfId="359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INDEX(MonthNames,4)&amp;" "&amp;CalYear</f>
        <v>April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DATE(CalYear,4,1)-WEEKDAY(DATE(CalYear,4,1),WeekType)+1+0</f>
        <v>46475</v>
      </c>
      <c r="C5" s="21">
        <f>DATE(CalYear,4,1)-WEEKDAY(DATE(CalYear,4,1),WeekType)+1+1</f>
        <v>46476</v>
      </c>
      <c r="D5" s="21">
        <f>DATE(CalYear,4,1)-WEEKDAY(DATE(CalYear,4,1),WeekType)+1+2</f>
        <v>46477</v>
      </c>
      <c r="E5" s="21">
        <f>DATE(CalYear,4,1)-WEEKDAY(DATE(CalYear,4,1),WeekType)+1+3</f>
        <v>46478</v>
      </c>
      <c r="F5" s="21">
        <f>DATE(CalYear,4,1)-WEEKDAY(DATE(CalYear,4,1),WeekType)+1+4</f>
        <v>46479</v>
      </c>
      <c r="G5" s="21">
        <f>DATE(CalYear,4,1)-WEEKDAY(DATE(CalYear,4,1),WeekType)+1+5</f>
        <v>46480</v>
      </c>
      <c r="H5" s="21">
        <f>DATE(CalYear,4,1)-WEEKDAY(DATE(CalYear,4,1),WeekType)+1+6</f>
        <v>46481</v>
      </c>
      <c r="J5" s="22" t="str">
        <f>IFERROR(INDEX(HolDate,MATCH(401,HolKey,0)),"")</f>
        <v/>
      </c>
      <c r="K5" s="23" t="str">
        <f>IFERROR(INDEX(HolName,MATCH(401,HolKey,0)),"")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IFERROR(INDEX(HolDate,MATCH(402,HolKey,0)),"")</f>
        <v/>
      </c>
      <c r="K6" s="23" t="str">
        <f>IFERROR(INDEX(HolName,MATCH(402,HolKey,0)),"")</f>
        <v/>
      </c>
    </row>
    <row r="7" ht="20" customHeight="1" spans="2:20" x14ac:dyDescent="0.25">
      <c r="B7" s="21">
        <f>DATE(CalYear,4,1)-WEEKDAY(DATE(CalYear,4,1),WeekType)+1+7</f>
        <v>46482</v>
      </c>
      <c r="C7" s="21">
        <f>DATE(CalYear,4,1)-WEEKDAY(DATE(CalYear,4,1),WeekType)+1+8</f>
        <v>46483</v>
      </c>
      <c r="D7" s="21">
        <f>DATE(CalYear,4,1)-WEEKDAY(DATE(CalYear,4,1),WeekType)+1+9</f>
        <v>46484</v>
      </c>
      <c r="E7" s="21">
        <f>DATE(CalYear,4,1)-WEEKDAY(DATE(CalYear,4,1),WeekType)+1+10</f>
        <v>46485</v>
      </c>
      <c r="F7" s="21">
        <f>DATE(CalYear,4,1)-WEEKDAY(DATE(CalYear,4,1),WeekType)+1+11</f>
        <v>46486</v>
      </c>
      <c r="G7" s="21">
        <f>DATE(CalYear,4,1)-WEEKDAY(DATE(CalYear,4,1),WeekType)+1+12</f>
        <v>46487</v>
      </c>
      <c r="H7" s="21">
        <f>DATE(CalYear,4,1)-WEEKDAY(DATE(CalYear,4,1),WeekType)+1+13</f>
        <v>46488</v>
      </c>
      <c r="J7" s="22" t="str">
        <f>IFERROR(INDEX(HolDate,MATCH(403,HolKey,0)),"")</f>
        <v/>
      </c>
      <c r="K7" s="23" t="str">
        <f>IFERROR(INDEX(HolName,MATCH(403,HolKey,0)),"")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IFERROR(INDEX(HolDate,MATCH(404,HolKey,0)),"")</f>
        <v/>
      </c>
      <c r="K8" s="23" t="str">
        <f>IFERROR(INDEX(HolName,MATCH(404,HolKey,0)),"")</f>
        <v/>
      </c>
    </row>
    <row r="9" ht="20" customHeight="1" spans="2:20" x14ac:dyDescent="0.25">
      <c r="B9" s="21">
        <f>DATE(CalYear,4,1)-WEEKDAY(DATE(CalYear,4,1),WeekType)+1+14</f>
        <v>46489</v>
      </c>
      <c r="C9" s="21">
        <f>DATE(CalYear,4,1)-WEEKDAY(DATE(CalYear,4,1),WeekType)+1+15</f>
        <v>46490</v>
      </c>
      <c r="D9" s="21">
        <f>DATE(CalYear,4,1)-WEEKDAY(DATE(CalYear,4,1),WeekType)+1+16</f>
        <v>46491</v>
      </c>
      <c r="E9" s="21">
        <f>DATE(CalYear,4,1)-WEEKDAY(DATE(CalYear,4,1),WeekType)+1+17</f>
        <v>46492</v>
      </c>
      <c r="F9" s="21">
        <f>DATE(CalYear,4,1)-WEEKDAY(DATE(CalYear,4,1),WeekType)+1+18</f>
        <v>46493</v>
      </c>
      <c r="G9" s="21">
        <f>DATE(CalYear,4,1)-WEEKDAY(DATE(CalYear,4,1),WeekType)+1+19</f>
        <v>46494</v>
      </c>
      <c r="H9" s="21">
        <f>DATE(CalYear,4,1)-WEEKDAY(DATE(CalYear,4,1),WeekType)+1+20</f>
        <v>46495</v>
      </c>
      <c r="J9" s="22" t="str">
        <f>IFERROR(INDEX(HolDate,MATCH(405,HolKey,0)),"")</f>
        <v/>
      </c>
      <c r="K9" s="23" t="str">
        <f>IFERROR(INDEX(HolName,MATCH(405,HolKey,0)),"")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IFERROR(INDEX(HolDate,MATCH(406,HolKey,0)),"")</f>
        <v/>
      </c>
      <c r="K10" s="23" t="str">
        <f>IFERROR(INDEX(HolName,MATCH(406,HolKey,0)),"")</f>
        <v/>
      </c>
    </row>
    <row r="11" ht="20" customHeight="1" spans="2:20" x14ac:dyDescent="0.25">
      <c r="B11" s="21">
        <f>DATE(CalYear,4,1)-WEEKDAY(DATE(CalYear,4,1),WeekType)+1+21</f>
        <v>46496</v>
      </c>
      <c r="C11" s="21">
        <f>DATE(CalYear,4,1)-WEEKDAY(DATE(CalYear,4,1),WeekType)+1+22</f>
        <v>46497</v>
      </c>
      <c r="D11" s="21">
        <f>DATE(CalYear,4,1)-WEEKDAY(DATE(CalYear,4,1),WeekType)+1+23</f>
        <v>46498</v>
      </c>
      <c r="E11" s="21">
        <f>DATE(CalYear,4,1)-WEEKDAY(DATE(CalYear,4,1),WeekType)+1+24</f>
        <v>46499</v>
      </c>
      <c r="F11" s="21">
        <f>DATE(CalYear,4,1)-WEEKDAY(DATE(CalYear,4,1),WeekType)+1+25</f>
        <v>46500</v>
      </c>
      <c r="G11" s="21">
        <f>DATE(CalYear,4,1)-WEEKDAY(DATE(CalYear,4,1),WeekType)+1+26</f>
        <v>46501</v>
      </c>
      <c r="H11" s="21">
        <f>DATE(CalYear,4,1)-WEEKDAY(DATE(CalYear,4,1),WeekType)+1+27</f>
        <v>46502</v>
      </c>
      <c r="J11" s="22" t="str">
        <f>IFERROR(INDEX(HolDate,MATCH(407,HolKey,0)),"")</f>
        <v/>
      </c>
      <c r="K11" s="23" t="str">
        <f>IFERROR(INDEX(HolName,MATCH(407,HolKey,0)),"")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IFERROR(INDEX(HolDate,MATCH(408,HolKey,0)),"")</f>
        <v/>
      </c>
      <c r="K12" s="23" t="str">
        <f>IFERROR(INDEX(HolName,MATCH(408,HolKey,0)),"")</f>
        <v/>
      </c>
    </row>
    <row r="13" ht="20" customHeight="1" spans="2:20" x14ac:dyDescent="0.25">
      <c r="B13" s="21">
        <f>DATE(CalYear,4,1)-WEEKDAY(DATE(CalYear,4,1),WeekType)+1+28</f>
        <v>46503</v>
      </c>
      <c r="C13" s="21">
        <f>DATE(CalYear,4,1)-WEEKDAY(DATE(CalYear,4,1),WeekType)+1+29</f>
        <v>46504</v>
      </c>
      <c r="D13" s="21">
        <f>DATE(CalYear,4,1)-WEEKDAY(DATE(CalYear,4,1),WeekType)+1+30</f>
        <v>46505</v>
      </c>
      <c r="E13" s="21">
        <f>DATE(CalYear,4,1)-WEEKDAY(DATE(CalYear,4,1),WeekType)+1+31</f>
        <v>46506</v>
      </c>
      <c r="F13" s="21">
        <f>DATE(CalYear,4,1)-WEEKDAY(DATE(CalYear,4,1),WeekType)+1+32</f>
        <v>46507</v>
      </c>
      <c r="G13" s="21">
        <f>DATE(CalYear,4,1)-WEEKDAY(DATE(CalYear,4,1),WeekType)+1+33</f>
        <v>46508</v>
      </c>
      <c r="H13" s="21">
        <f>DATE(CalYear,4,1)-WEEKDAY(DATE(CalYear,4,1),WeekType)+1+34</f>
        <v>46509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DATE(CalYear,4,1)-WEEKDAY(DATE(CalYear,4,1),WeekType)+1+35</f>
        <v>46510</v>
      </c>
      <c r="C15" s="21">
        <f>DATE(CalYear,4,1)-WEEKDAY(DATE(CalYear,4,1),WeekType)+1+36</f>
        <v>46511</v>
      </c>
      <c r="D15" s="21">
        <f>DATE(CalYear,4,1)-WEEKDAY(DATE(CalYear,4,1),WeekType)+1+37</f>
        <v>46512</v>
      </c>
      <c r="E15" s="21">
        <f>DATE(CalYear,4,1)-WEEKDAY(DATE(CalYear,4,1),WeekType)+1+38</f>
        <v>46513</v>
      </c>
      <c r="F15" s="21">
        <f>DATE(CalYear,4,1)-WEEKDAY(DATE(CalYear,4,1),WeekType)+1+39</f>
        <v>46514</v>
      </c>
      <c r="G15" s="21">
        <f>DATE(CalYear,4,1)-WEEKDAY(DATE(CalYear,4,1),WeekType)+1+40</f>
        <v>46515</v>
      </c>
      <c r="H15" s="21">
        <f>DATE(CalYear,4,1)-WEEKDAY(DATE(CalYear,4,1),WeekType)+1+41</f>
        <v>46516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60" priority="1">
      <formula>MONTH(B5)&lt;&gt;4</formula>
    </cfRule>
  </conditionalFormatting>
  <conditionalFormatting sqref="B5:H5">
    <cfRule type="expression" dxfId="361" priority="2">
      <formula>B5=TODAY()</formula>
    </cfRule>
  </conditionalFormatting>
  <conditionalFormatting sqref="B5:H5">
    <cfRule type="expression" dxfId="362" priority="3">
      <formula>N5=1</formula>
    </cfRule>
  </conditionalFormatting>
  <conditionalFormatting sqref="B5:H5">
    <cfRule type="expression" dxfId="363" priority="4">
      <formula>WEEKDAY(B5,2)&gt;5</formula>
    </cfRule>
  </conditionalFormatting>
  <conditionalFormatting sqref="B7:H7">
    <cfRule type="expression" dxfId="364" priority="1">
      <formula>MONTH(B7)&lt;&gt;4</formula>
    </cfRule>
  </conditionalFormatting>
  <conditionalFormatting sqref="B7:H7">
    <cfRule type="expression" dxfId="365" priority="2">
      <formula>B7=TODAY()</formula>
    </cfRule>
  </conditionalFormatting>
  <conditionalFormatting sqref="B7:H7">
    <cfRule type="expression" dxfId="366" priority="3">
      <formula>N7=1</formula>
    </cfRule>
  </conditionalFormatting>
  <conditionalFormatting sqref="B7:H7">
    <cfRule type="expression" dxfId="367" priority="4">
      <formula>WEEKDAY(B7,2)&gt;5</formula>
    </cfRule>
  </conditionalFormatting>
  <conditionalFormatting sqref="B9:H9">
    <cfRule type="expression" dxfId="368" priority="1">
      <formula>MONTH(B9)&lt;&gt;4</formula>
    </cfRule>
  </conditionalFormatting>
  <conditionalFormatting sqref="B9:H9">
    <cfRule type="expression" dxfId="369" priority="2">
      <formula>B9=TODAY()</formula>
    </cfRule>
  </conditionalFormatting>
  <conditionalFormatting sqref="B9:H9">
    <cfRule type="expression" dxfId="370" priority="3">
      <formula>N9=1</formula>
    </cfRule>
  </conditionalFormatting>
  <conditionalFormatting sqref="B9:H9">
    <cfRule type="expression" dxfId="371" priority="4">
      <formula>WEEKDAY(B9,2)&gt;5</formula>
    </cfRule>
  </conditionalFormatting>
  <conditionalFormatting sqref="B11:H11">
    <cfRule type="expression" dxfId="372" priority="1">
      <formula>MONTH(B11)&lt;&gt;4</formula>
    </cfRule>
  </conditionalFormatting>
  <conditionalFormatting sqref="B11:H11">
    <cfRule type="expression" dxfId="373" priority="2">
      <formula>B11=TODAY()</formula>
    </cfRule>
  </conditionalFormatting>
  <conditionalFormatting sqref="B11:H11">
    <cfRule type="expression" dxfId="374" priority="3">
      <formula>N11=1</formula>
    </cfRule>
  </conditionalFormatting>
  <conditionalFormatting sqref="B11:H11">
    <cfRule type="expression" dxfId="375" priority="4">
      <formula>WEEKDAY(B11,2)&gt;5</formula>
    </cfRule>
  </conditionalFormatting>
  <conditionalFormatting sqref="B13:H13">
    <cfRule type="expression" dxfId="376" priority="1">
      <formula>MONTH(B13)&lt;&gt;4</formula>
    </cfRule>
  </conditionalFormatting>
  <conditionalFormatting sqref="B13:H13">
    <cfRule type="expression" dxfId="377" priority="2">
      <formula>B13=TODAY()</formula>
    </cfRule>
  </conditionalFormatting>
  <conditionalFormatting sqref="B13:H13">
    <cfRule type="expression" dxfId="378" priority="3">
      <formula>N13=1</formula>
    </cfRule>
  </conditionalFormatting>
  <conditionalFormatting sqref="B13:H13">
    <cfRule type="expression" dxfId="379" priority="4">
      <formula>WEEKDAY(B13,2)&gt;5</formula>
    </cfRule>
  </conditionalFormatting>
  <conditionalFormatting sqref="B15:H15">
    <cfRule type="expression" dxfId="380" priority="1">
      <formula>MONTH(B15)&lt;&gt;4</formula>
    </cfRule>
  </conditionalFormatting>
  <conditionalFormatting sqref="B15:H15">
    <cfRule type="expression" dxfId="381" priority="2">
      <formula>B15=TODAY()</formula>
    </cfRule>
  </conditionalFormatting>
  <conditionalFormatting sqref="B15:H15">
    <cfRule type="expression" dxfId="382" priority="3">
      <formula>N15=1</formula>
    </cfRule>
  </conditionalFormatting>
  <conditionalFormatting sqref="B15:H15">
    <cfRule type="expression" dxfId="383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INDEX(MonthNames,5)&amp;" "&amp;CalYear</f>
        <v>May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DATE(CalYear,5,1)-WEEKDAY(DATE(CalYear,5,1),WeekType)+1+0</f>
        <v>46503</v>
      </c>
      <c r="C5" s="21">
        <f>DATE(CalYear,5,1)-WEEKDAY(DATE(CalYear,5,1),WeekType)+1+1</f>
        <v>46504</v>
      </c>
      <c r="D5" s="21">
        <f>DATE(CalYear,5,1)-WEEKDAY(DATE(CalYear,5,1),WeekType)+1+2</f>
        <v>46505</v>
      </c>
      <c r="E5" s="21">
        <f>DATE(CalYear,5,1)-WEEKDAY(DATE(CalYear,5,1),WeekType)+1+3</f>
        <v>46506</v>
      </c>
      <c r="F5" s="21">
        <f>DATE(CalYear,5,1)-WEEKDAY(DATE(CalYear,5,1),WeekType)+1+4</f>
        <v>46507</v>
      </c>
      <c r="G5" s="21">
        <f>DATE(CalYear,5,1)-WEEKDAY(DATE(CalYear,5,1),WeekType)+1+5</f>
        <v>46508</v>
      </c>
      <c r="H5" s="21">
        <f>DATE(CalYear,5,1)-WEEKDAY(DATE(CalYear,5,1),WeekType)+1+6</f>
        <v>46509</v>
      </c>
      <c r="J5" s="22">
        <f>IFERROR(INDEX(HolDate,MATCH(501,HolKey,0)),"")</f>
        <v>46538</v>
      </c>
      <c r="K5" s="23" t="str">
        <f>IFERROR(INDEX(HolName,MATCH(501,HolKey,0)),"")</f>
        <v>Memorial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IFERROR(INDEX(HolDate,MATCH(502,HolKey,0)),"")</f>
        <v/>
      </c>
      <c r="K6" s="23" t="str">
        <f>IFERROR(INDEX(HolName,MATCH(502,HolKey,0)),"")</f>
        <v/>
      </c>
    </row>
    <row r="7" ht="20" customHeight="1" spans="2:20" x14ac:dyDescent="0.25">
      <c r="B7" s="21">
        <f>DATE(CalYear,5,1)-WEEKDAY(DATE(CalYear,5,1),WeekType)+1+7</f>
        <v>46510</v>
      </c>
      <c r="C7" s="21">
        <f>DATE(CalYear,5,1)-WEEKDAY(DATE(CalYear,5,1),WeekType)+1+8</f>
        <v>46511</v>
      </c>
      <c r="D7" s="21">
        <f>DATE(CalYear,5,1)-WEEKDAY(DATE(CalYear,5,1),WeekType)+1+9</f>
        <v>46512</v>
      </c>
      <c r="E7" s="21">
        <f>DATE(CalYear,5,1)-WEEKDAY(DATE(CalYear,5,1),WeekType)+1+10</f>
        <v>46513</v>
      </c>
      <c r="F7" s="21">
        <f>DATE(CalYear,5,1)-WEEKDAY(DATE(CalYear,5,1),WeekType)+1+11</f>
        <v>46514</v>
      </c>
      <c r="G7" s="21">
        <f>DATE(CalYear,5,1)-WEEKDAY(DATE(CalYear,5,1),WeekType)+1+12</f>
        <v>46515</v>
      </c>
      <c r="H7" s="21">
        <f>DATE(CalYear,5,1)-WEEKDAY(DATE(CalYear,5,1),WeekType)+1+13</f>
        <v>46516</v>
      </c>
      <c r="J7" s="22" t="str">
        <f>IFERROR(INDEX(HolDate,MATCH(503,HolKey,0)),"")</f>
        <v/>
      </c>
      <c r="K7" s="23" t="str">
        <f>IFERROR(INDEX(HolName,MATCH(503,HolKey,0)),"")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IFERROR(INDEX(HolDate,MATCH(504,HolKey,0)),"")</f>
        <v/>
      </c>
      <c r="K8" s="23" t="str">
        <f>IFERROR(INDEX(HolName,MATCH(504,HolKey,0)),"")</f>
        <v/>
      </c>
    </row>
    <row r="9" ht="20" customHeight="1" spans="2:20" x14ac:dyDescent="0.25">
      <c r="B9" s="21">
        <f>DATE(CalYear,5,1)-WEEKDAY(DATE(CalYear,5,1),WeekType)+1+14</f>
        <v>46517</v>
      </c>
      <c r="C9" s="21">
        <f>DATE(CalYear,5,1)-WEEKDAY(DATE(CalYear,5,1),WeekType)+1+15</f>
        <v>46518</v>
      </c>
      <c r="D9" s="21">
        <f>DATE(CalYear,5,1)-WEEKDAY(DATE(CalYear,5,1),WeekType)+1+16</f>
        <v>46519</v>
      </c>
      <c r="E9" s="21">
        <f>DATE(CalYear,5,1)-WEEKDAY(DATE(CalYear,5,1),WeekType)+1+17</f>
        <v>46520</v>
      </c>
      <c r="F9" s="21">
        <f>DATE(CalYear,5,1)-WEEKDAY(DATE(CalYear,5,1),WeekType)+1+18</f>
        <v>46521</v>
      </c>
      <c r="G9" s="21">
        <f>DATE(CalYear,5,1)-WEEKDAY(DATE(CalYear,5,1),WeekType)+1+19</f>
        <v>46522</v>
      </c>
      <c r="H9" s="21">
        <f>DATE(CalYear,5,1)-WEEKDAY(DATE(CalYear,5,1),WeekType)+1+20</f>
        <v>46523</v>
      </c>
      <c r="J9" s="22" t="str">
        <f>IFERROR(INDEX(HolDate,MATCH(505,HolKey,0)),"")</f>
        <v/>
      </c>
      <c r="K9" s="23" t="str">
        <f>IFERROR(INDEX(HolName,MATCH(505,HolKey,0)),"")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IFERROR(INDEX(HolDate,MATCH(506,HolKey,0)),"")</f>
        <v/>
      </c>
      <c r="K10" s="23" t="str">
        <f>IFERROR(INDEX(HolName,MATCH(506,HolKey,0)),"")</f>
        <v/>
      </c>
    </row>
    <row r="11" ht="20" customHeight="1" spans="2:20" x14ac:dyDescent="0.25">
      <c r="B11" s="21">
        <f>DATE(CalYear,5,1)-WEEKDAY(DATE(CalYear,5,1),WeekType)+1+21</f>
        <v>46524</v>
      </c>
      <c r="C11" s="21">
        <f>DATE(CalYear,5,1)-WEEKDAY(DATE(CalYear,5,1),WeekType)+1+22</f>
        <v>46525</v>
      </c>
      <c r="D11" s="21">
        <f>DATE(CalYear,5,1)-WEEKDAY(DATE(CalYear,5,1),WeekType)+1+23</f>
        <v>46526</v>
      </c>
      <c r="E11" s="21">
        <f>DATE(CalYear,5,1)-WEEKDAY(DATE(CalYear,5,1),WeekType)+1+24</f>
        <v>46527</v>
      </c>
      <c r="F11" s="21">
        <f>DATE(CalYear,5,1)-WEEKDAY(DATE(CalYear,5,1),WeekType)+1+25</f>
        <v>46528</v>
      </c>
      <c r="G11" s="21">
        <f>DATE(CalYear,5,1)-WEEKDAY(DATE(CalYear,5,1),WeekType)+1+26</f>
        <v>46529</v>
      </c>
      <c r="H11" s="21">
        <f>DATE(CalYear,5,1)-WEEKDAY(DATE(CalYear,5,1),WeekType)+1+27</f>
        <v>46530</v>
      </c>
      <c r="J11" s="22" t="str">
        <f>IFERROR(INDEX(HolDate,MATCH(507,HolKey,0)),"")</f>
        <v/>
      </c>
      <c r="K11" s="23" t="str">
        <f>IFERROR(INDEX(HolName,MATCH(507,HolKey,0)),"")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IFERROR(INDEX(HolDate,MATCH(508,HolKey,0)),"")</f>
        <v/>
      </c>
      <c r="K12" s="23" t="str">
        <f>IFERROR(INDEX(HolName,MATCH(508,HolKey,0)),"")</f>
        <v/>
      </c>
    </row>
    <row r="13" ht="20" customHeight="1" spans="2:20" x14ac:dyDescent="0.25">
      <c r="B13" s="21">
        <f>DATE(CalYear,5,1)-WEEKDAY(DATE(CalYear,5,1),WeekType)+1+28</f>
        <v>46531</v>
      </c>
      <c r="C13" s="21">
        <f>DATE(CalYear,5,1)-WEEKDAY(DATE(CalYear,5,1),WeekType)+1+29</f>
        <v>46532</v>
      </c>
      <c r="D13" s="21">
        <f>DATE(CalYear,5,1)-WEEKDAY(DATE(CalYear,5,1),WeekType)+1+30</f>
        <v>46533</v>
      </c>
      <c r="E13" s="21">
        <f>DATE(CalYear,5,1)-WEEKDAY(DATE(CalYear,5,1),WeekType)+1+31</f>
        <v>46534</v>
      </c>
      <c r="F13" s="21">
        <f>DATE(CalYear,5,1)-WEEKDAY(DATE(CalYear,5,1),WeekType)+1+32</f>
        <v>46535</v>
      </c>
      <c r="G13" s="21">
        <f>DATE(CalYear,5,1)-WEEKDAY(DATE(CalYear,5,1),WeekType)+1+33</f>
        <v>46536</v>
      </c>
      <c r="H13" s="21">
        <f>DATE(CalYear,5,1)-WEEKDAY(DATE(CalYear,5,1),WeekType)+1+34</f>
        <v>46537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DATE(CalYear,5,1)-WEEKDAY(DATE(CalYear,5,1),WeekType)+1+35</f>
        <v>46538</v>
      </c>
      <c r="C15" s="21">
        <f>DATE(CalYear,5,1)-WEEKDAY(DATE(CalYear,5,1),WeekType)+1+36</f>
        <v>46539</v>
      </c>
      <c r="D15" s="21">
        <f>DATE(CalYear,5,1)-WEEKDAY(DATE(CalYear,5,1),WeekType)+1+37</f>
        <v>46540</v>
      </c>
      <c r="E15" s="21">
        <f>DATE(CalYear,5,1)-WEEKDAY(DATE(CalYear,5,1),WeekType)+1+38</f>
        <v>46541</v>
      </c>
      <c r="F15" s="21">
        <f>DATE(CalYear,5,1)-WEEKDAY(DATE(CalYear,5,1),WeekType)+1+39</f>
        <v>46542</v>
      </c>
      <c r="G15" s="21">
        <f>DATE(CalYear,5,1)-WEEKDAY(DATE(CalYear,5,1),WeekType)+1+40</f>
        <v>46543</v>
      </c>
      <c r="H15" s="21">
        <f>DATE(CalYear,5,1)-WEEKDAY(DATE(CalYear,5,1),WeekType)+1+41</f>
        <v>46544</v>
      </c>
      <c r="J15" s="26"/>
      <c r="K15" s="26"/>
      <c r="N15">
        <f>IF(COUNTIF(HolShownDate,B15)&gt;0,1,0)</f>
        <v>1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84" priority="1">
      <formula>MONTH(B5)&lt;&gt;5</formula>
    </cfRule>
  </conditionalFormatting>
  <conditionalFormatting sqref="B5:H5">
    <cfRule type="expression" dxfId="385" priority="2">
      <formula>B5=TODAY()</formula>
    </cfRule>
  </conditionalFormatting>
  <conditionalFormatting sqref="B5:H5">
    <cfRule type="expression" dxfId="386" priority="3">
      <formula>N5=1</formula>
    </cfRule>
  </conditionalFormatting>
  <conditionalFormatting sqref="B5:H5">
    <cfRule type="expression" dxfId="387" priority="4">
      <formula>WEEKDAY(B5,2)&gt;5</formula>
    </cfRule>
  </conditionalFormatting>
  <conditionalFormatting sqref="B7:H7">
    <cfRule type="expression" dxfId="388" priority="1">
      <formula>MONTH(B7)&lt;&gt;5</formula>
    </cfRule>
  </conditionalFormatting>
  <conditionalFormatting sqref="B7:H7">
    <cfRule type="expression" dxfId="389" priority="2">
      <formula>B7=TODAY()</formula>
    </cfRule>
  </conditionalFormatting>
  <conditionalFormatting sqref="B7:H7">
    <cfRule type="expression" dxfId="390" priority="3">
      <formula>N7=1</formula>
    </cfRule>
  </conditionalFormatting>
  <conditionalFormatting sqref="B7:H7">
    <cfRule type="expression" dxfId="391" priority="4">
      <formula>WEEKDAY(B7,2)&gt;5</formula>
    </cfRule>
  </conditionalFormatting>
  <conditionalFormatting sqref="B9:H9">
    <cfRule type="expression" dxfId="392" priority="1">
      <formula>MONTH(B9)&lt;&gt;5</formula>
    </cfRule>
  </conditionalFormatting>
  <conditionalFormatting sqref="B9:H9">
    <cfRule type="expression" dxfId="393" priority="2">
      <formula>B9=TODAY()</formula>
    </cfRule>
  </conditionalFormatting>
  <conditionalFormatting sqref="B9:H9">
    <cfRule type="expression" dxfId="394" priority="3">
      <formula>N9=1</formula>
    </cfRule>
  </conditionalFormatting>
  <conditionalFormatting sqref="B9:H9">
    <cfRule type="expression" dxfId="395" priority="4">
      <formula>WEEKDAY(B9,2)&gt;5</formula>
    </cfRule>
  </conditionalFormatting>
  <conditionalFormatting sqref="B11:H11">
    <cfRule type="expression" dxfId="396" priority="1">
      <formula>MONTH(B11)&lt;&gt;5</formula>
    </cfRule>
  </conditionalFormatting>
  <conditionalFormatting sqref="B11:H11">
    <cfRule type="expression" dxfId="397" priority="2">
      <formula>B11=TODAY()</formula>
    </cfRule>
  </conditionalFormatting>
  <conditionalFormatting sqref="B11:H11">
    <cfRule type="expression" dxfId="398" priority="3">
      <formula>N11=1</formula>
    </cfRule>
  </conditionalFormatting>
  <conditionalFormatting sqref="B11:H11">
    <cfRule type="expression" dxfId="399" priority="4">
      <formula>WEEKDAY(B11,2)&gt;5</formula>
    </cfRule>
  </conditionalFormatting>
  <conditionalFormatting sqref="B13:H13">
    <cfRule type="expression" dxfId="400" priority="1">
      <formula>MONTH(B13)&lt;&gt;5</formula>
    </cfRule>
  </conditionalFormatting>
  <conditionalFormatting sqref="B13:H13">
    <cfRule type="expression" dxfId="401" priority="2">
      <formula>B13=TODAY()</formula>
    </cfRule>
  </conditionalFormatting>
  <conditionalFormatting sqref="B13:H13">
    <cfRule type="expression" dxfId="402" priority="3">
      <formula>N13=1</formula>
    </cfRule>
  </conditionalFormatting>
  <conditionalFormatting sqref="B13:H13">
    <cfRule type="expression" dxfId="403" priority="4">
      <formula>WEEKDAY(B13,2)&gt;5</formula>
    </cfRule>
  </conditionalFormatting>
  <conditionalFormatting sqref="B15:H15">
    <cfRule type="expression" dxfId="404" priority="1">
      <formula>MONTH(B15)&lt;&gt;5</formula>
    </cfRule>
  </conditionalFormatting>
  <conditionalFormatting sqref="B15:H15">
    <cfRule type="expression" dxfId="405" priority="2">
      <formula>B15=TODAY()</formula>
    </cfRule>
  </conditionalFormatting>
  <conditionalFormatting sqref="B15:H15">
    <cfRule type="expression" dxfId="406" priority="3">
      <formula>N15=1</formula>
    </cfRule>
  </conditionalFormatting>
  <conditionalFormatting sqref="B15:H15">
    <cfRule type="expression" dxfId="407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INDEX(MonthNames,6)&amp;" "&amp;CalYear</f>
        <v>June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DATE(CalYear,6,1)-WEEKDAY(DATE(CalYear,6,1),WeekType)+1+0</f>
        <v>46538</v>
      </c>
      <c r="C5" s="21">
        <f>DATE(CalYear,6,1)-WEEKDAY(DATE(CalYear,6,1),WeekType)+1+1</f>
        <v>46539</v>
      </c>
      <c r="D5" s="21">
        <f>DATE(CalYear,6,1)-WEEKDAY(DATE(CalYear,6,1),WeekType)+1+2</f>
        <v>46540</v>
      </c>
      <c r="E5" s="21">
        <f>DATE(CalYear,6,1)-WEEKDAY(DATE(CalYear,6,1),WeekType)+1+3</f>
        <v>46541</v>
      </c>
      <c r="F5" s="21">
        <f>DATE(CalYear,6,1)-WEEKDAY(DATE(CalYear,6,1),WeekType)+1+4</f>
        <v>46542</v>
      </c>
      <c r="G5" s="21">
        <f>DATE(CalYear,6,1)-WEEKDAY(DATE(CalYear,6,1),WeekType)+1+5</f>
        <v>46543</v>
      </c>
      <c r="H5" s="21">
        <f>DATE(CalYear,6,1)-WEEKDAY(DATE(CalYear,6,1),WeekType)+1+6</f>
        <v>46544</v>
      </c>
      <c r="J5" s="22">
        <f>IFERROR(INDEX(HolDate,MATCH(601,HolKey,0)),"")</f>
        <v>46556</v>
      </c>
      <c r="K5" s="23" t="str">
        <f>IFERROR(INDEX(HolName,MATCH(601,HolKey,0)),"")</f>
        <v>Juneteenth (substitute day)</v>
      </c>
      <c r="N5">
        <f>IF(COUNTIF(HolShownDate,B5)&gt;0,1,0)</f>
        <v>1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>
        <f>IFERROR(INDEX(HolDate,MATCH(602,HolKey,0)),"")</f>
        <v>46557</v>
      </c>
      <c r="K6" s="23" t="str">
        <f>IFERROR(INDEX(HolName,MATCH(602,HolKey,0)),"")</f>
        <v>Juneteenth</v>
      </c>
    </row>
    <row r="7" ht="20" customHeight="1" spans="2:20" x14ac:dyDescent="0.25">
      <c r="B7" s="21">
        <f>DATE(CalYear,6,1)-WEEKDAY(DATE(CalYear,6,1),WeekType)+1+7</f>
        <v>46545</v>
      </c>
      <c r="C7" s="21">
        <f>DATE(CalYear,6,1)-WEEKDAY(DATE(CalYear,6,1),WeekType)+1+8</f>
        <v>46546</v>
      </c>
      <c r="D7" s="21">
        <f>DATE(CalYear,6,1)-WEEKDAY(DATE(CalYear,6,1),WeekType)+1+9</f>
        <v>46547</v>
      </c>
      <c r="E7" s="21">
        <f>DATE(CalYear,6,1)-WEEKDAY(DATE(CalYear,6,1),WeekType)+1+10</f>
        <v>46548</v>
      </c>
      <c r="F7" s="21">
        <f>DATE(CalYear,6,1)-WEEKDAY(DATE(CalYear,6,1),WeekType)+1+11</f>
        <v>46549</v>
      </c>
      <c r="G7" s="21">
        <f>DATE(CalYear,6,1)-WEEKDAY(DATE(CalYear,6,1),WeekType)+1+12</f>
        <v>46550</v>
      </c>
      <c r="H7" s="21">
        <f>DATE(CalYear,6,1)-WEEKDAY(DATE(CalYear,6,1),WeekType)+1+13</f>
        <v>46551</v>
      </c>
      <c r="J7" s="22" t="str">
        <f>IFERROR(INDEX(HolDate,MATCH(603,HolKey,0)),"")</f>
        <v/>
      </c>
      <c r="K7" s="23" t="str">
        <f>IFERROR(INDEX(HolName,MATCH(603,HolKey,0)),"")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IFERROR(INDEX(HolDate,MATCH(604,HolKey,0)),"")</f>
        <v/>
      </c>
      <c r="K8" s="23" t="str">
        <f>IFERROR(INDEX(HolName,MATCH(604,HolKey,0)),"")</f>
        <v/>
      </c>
    </row>
    <row r="9" ht="20" customHeight="1" spans="2:20" x14ac:dyDescent="0.25">
      <c r="B9" s="21">
        <f>DATE(CalYear,6,1)-WEEKDAY(DATE(CalYear,6,1),WeekType)+1+14</f>
        <v>46552</v>
      </c>
      <c r="C9" s="21">
        <f>DATE(CalYear,6,1)-WEEKDAY(DATE(CalYear,6,1),WeekType)+1+15</f>
        <v>46553</v>
      </c>
      <c r="D9" s="21">
        <f>DATE(CalYear,6,1)-WEEKDAY(DATE(CalYear,6,1),WeekType)+1+16</f>
        <v>46554</v>
      </c>
      <c r="E9" s="21">
        <f>DATE(CalYear,6,1)-WEEKDAY(DATE(CalYear,6,1),WeekType)+1+17</f>
        <v>46555</v>
      </c>
      <c r="F9" s="21">
        <f>DATE(CalYear,6,1)-WEEKDAY(DATE(CalYear,6,1),WeekType)+1+18</f>
        <v>46556</v>
      </c>
      <c r="G9" s="21">
        <f>DATE(CalYear,6,1)-WEEKDAY(DATE(CalYear,6,1),WeekType)+1+19</f>
        <v>46557</v>
      </c>
      <c r="H9" s="21">
        <f>DATE(CalYear,6,1)-WEEKDAY(DATE(CalYear,6,1),WeekType)+1+20</f>
        <v>46558</v>
      </c>
      <c r="J9" s="22" t="str">
        <f>IFERROR(INDEX(HolDate,MATCH(605,HolKey,0)),"")</f>
        <v/>
      </c>
      <c r="K9" s="23" t="str">
        <f>IFERROR(INDEX(HolName,MATCH(605,HolKey,0)),"")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1</v>
      </c>
      <c r="S9">
        <f>IF(COUNTIF(HolShownDate,G9)&gt;0,1,0)</f>
        <v>1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IFERROR(INDEX(HolDate,MATCH(606,HolKey,0)),"")</f>
        <v/>
      </c>
      <c r="K10" s="23" t="str">
        <f>IFERROR(INDEX(HolName,MATCH(606,HolKey,0)),"")</f>
        <v/>
      </c>
    </row>
    <row r="11" ht="20" customHeight="1" spans="2:20" x14ac:dyDescent="0.25">
      <c r="B11" s="21">
        <f>DATE(CalYear,6,1)-WEEKDAY(DATE(CalYear,6,1),WeekType)+1+21</f>
        <v>46559</v>
      </c>
      <c r="C11" s="21">
        <f>DATE(CalYear,6,1)-WEEKDAY(DATE(CalYear,6,1),WeekType)+1+22</f>
        <v>46560</v>
      </c>
      <c r="D11" s="21">
        <f>DATE(CalYear,6,1)-WEEKDAY(DATE(CalYear,6,1),WeekType)+1+23</f>
        <v>46561</v>
      </c>
      <c r="E11" s="21">
        <f>DATE(CalYear,6,1)-WEEKDAY(DATE(CalYear,6,1),WeekType)+1+24</f>
        <v>46562</v>
      </c>
      <c r="F11" s="21">
        <f>DATE(CalYear,6,1)-WEEKDAY(DATE(CalYear,6,1),WeekType)+1+25</f>
        <v>46563</v>
      </c>
      <c r="G11" s="21">
        <f>DATE(CalYear,6,1)-WEEKDAY(DATE(CalYear,6,1),WeekType)+1+26</f>
        <v>46564</v>
      </c>
      <c r="H11" s="21">
        <f>DATE(CalYear,6,1)-WEEKDAY(DATE(CalYear,6,1),WeekType)+1+27</f>
        <v>46565</v>
      </c>
      <c r="J11" s="22" t="str">
        <f>IFERROR(INDEX(HolDate,MATCH(607,HolKey,0)),"")</f>
        <v/>
      </c>
      <c r="K11" s="23" t="str">
        <f>IFERROR(INDEX(HolName,MATCH(607,HolKey,0)),"")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IFERROR(INDEX(HolDate,MATCH(608,HolKey,0)),"")</f>
        <v/>
      </c>
      <c r="K12" s="23" t="str">
        <f>IFERROR(INDEX(HolName,MATCH(608,HolKey,0)),"")</f>
        <v/>
      </c>
    </row>
    <row r="13" ht="20" customHeight="1" spans="2:20" x14ac:dyDescent="0.25">
      <c r="B13" s="21">
        <f>DATE(CalYear,6,1)-WEEKDAY(DATE(CalYear,6,1),WeekType)+1+28</f>
        <v>46566</v>
      </c>
      <c r="C13" s="21">
        <f>DATE(CalYear,6,1)-WEEKDAY(DATE(CalYear,6,1),WeekType)+1+29</f>
        <v>46567</v>
      </c>
      <c r="D13" s="21">
        <f>DATE(CalYear,6,1)-WEEKDAY(DATE(CalYear,6,1),WeekType)+1+30</f>
        <v>46568</v>
      </c>
      <c r="E13" s="21">
        <f>DATE(CalYear,6,1)-WEEKDAY(DATE(CalYear,6,1),WeekType)+1+31</f>
        <v>46569</v>
      </c>
      <c r="F13" s="21">
        <f>DATE(CalYear,6,1)-WEEKDAY(DATE(CalYear,6,1),WeekType)+1+32</f>
        <v>46570</v>
      </c>
      <c r="G13" s="21">
        <f>DATE(CalYear,6,1)-WEEKDAY(DATE(CalYear,6,1),WeekType)+1+33</f>
        <v>46571</v>
      </c>
      <c r="H13" s="21">
        <f>DATE(CalYear,6,1)-WEEKDAY(DATE(CalYear,6,1),WeekType)+1+34</f>
        <v>46572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1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DATE(CalYear,6,1)-WEEKDAY(DATE(CalYear,6,1),WeekType)+1+35</f>
        <v>46573</v>
      </c>
      <c r="C15" s="21">
        <f>DATE(CalYear,6,1)-WEEKDAY(DATE(CalYear,6,1),WeekType)+1+36</f>
        <v>46574</v>
      </c>
      <c r="D15" s="21">
        <f>DATE(CalYear,6,1)-WEEKDAY(DATE(CalYear,6,1),WeekType)+1+37</f>
        <v>46575</v>
      </c>
      <c r="E15" s="21">
        <f>DATE(CalYear,6,1)-WEEKDAY(DATE(CalYear,6,1),WeekType)+1+38</f>
        <v>46576</v>
      </c>
      <c r="F15" s="21">
        <f>DATE(CalYear,6,1)-WEEKDAY(DATE(CalYear,6,1),WeekType)+1+39</f>
        <v>46577</v>
      </c>
      <c r="G15" s="21">
        <f>DATE(CalYear,6,1)-WEEKDAY(DATE(CalYear,6,1),WeekType)+1+40</f>
        <v>46578</v>
      </c>
      <c r="H15" s="21">
        <f>DATE(CalYear,6,1)-WEEKDAY(DATE(CalYear,6,1),WeekType)+1+41</f>
        <v>46579</v>
      </c>
      <c r="J15" s="26"/>
      <c r="K15" s="26"/>
      <c r="N15">
        <f>IF(COUNTIF(HolShownDate,B15)&gt;0,1,0)</f>
        <v>1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08" priority="1">
      <formula>MONTH(B5)&lt;&gt;6</formula>
    </cfRule>
  </conditionalFormatting>
  <conditionalFormatting sqref="B5:H5">
    <cfRule type="expression" dxfId="409" priority="2">
      <formula>B5=TODAY()</formula>
    </cfRule>
  </conditionalFormatting>
  <conditionalFormatting sqref="B5:H5">
    <cfRule type="expression" dxfId="410" priority="3">
      <formula>N5=1</formula>
    </cfRule>
  </conditionalFormatting>
  <conditionalFormatting sqref="B5:H5">
    <cfRule type="expression" dxfId="411" priority="4">
      <formula>WEEKDAY(B5,2)&gt;5</formula>
    </cfRule>
  </conditionalFormatting>
  <conditionalFormatting sqref="B7:H7">
    <cfRule type="expression" dxfId="412" priority="1">
      <formula>MONTH(B7)&lt;&gt;6</formula>
    </cfRule>
  </conditionalFormatting>
  <conditionalFormatting sqref="B7:H7">
    <cfRule type="expression" dxfId="413" priority="2">
      <formula>B7=TODAY()</formula>
    </cfRule>
  </conditionalFormatting>
  <conditionalFormatting sqref="B7:H7">
    <cfRule type="expression" dxfId="414" priority="3">
      <formula>N7=1</formula>
    </cfRule>
  </conditionalFormatting>
  <conditionalFormatting sqref="B7:H7">
    <cfRule type="expression" dxfId="415" priority="4">
      <formula>WEEKDAY(B7,2)&gt;5</formula>
    </cfRule>
  </conditionalFormatting>
  <conditionalFormatting sqref="B9:H9">
    <cfRule type="expression" dxfId="416" priority="1">
      <formula>MONTH(B9)&lt;&gt;6</formula>
    </cfRule>
  </conditionalFormatting>
  <conditionalFormatting sqref="B9:H9">
    <cfRule type="expression" dxfId="417" priority="2">
      <formula>B9=TODAY()</formula>
    </cfRule>
  </conditionalFormatting>
  <conditionalFormatting sqref="B9:H9">
    <cfRule type="expression" dxfId="418" priority="3">
      <formula>N9=1</formula>
    </cfRule>
  </conditionalFormatting>
  <conditionalFormatting sqref="B9:H9">
    <cfRule type="expression" dxfId="419" priority="4">
      <formula>WEEKDAY(B9,2)&gt;5</formula>
    </cfRule>
  </conditionalFormatting>
  <conditionalFormatting sqref="B11:H11">
    <cfRule type="expression" dxfId="420" priority="1">
      <formula>MONTH(B11)&lt;&gt;6</formula>
    </cfRule>
  </conditionalFormatting>
  <conditionalFormatting sqref="B11:H11">
    <cfRule type="expression" dxfId="421" priority="2">
      <formula>B11=TODAY()</formula>
    </cfRule>
  </conditionalFormatting>
  <conditionalFormatting sqref="B11:H11">
    <cfRule type="expression" dxfId="422" priority="3">
      <formula>N11=1</formula>
    </cfRule>
  </conditionalFormatting>
  <conditionalFormatting sqref="B11:H11">
    <cfRule type="expression" dxfId="423" priority="4">
      <formula>WEEKDAY(B11,2)&gt;5</formula>
    </cfRule>
  </conditionalFormatting>
  <conditionalFormatting sqref="B13:H13">
    <cfRule type="expression" dxfId="424" priority="1">
      <formula>MONTH(B13)&lt;&gt;6</formula>
    </cfRule>
  </conditionalFormatting>
  <conditionalFormatting sqref="B13:H13">
    <cfRule type="expression" dxfId="425" priority="2">
      <formula>B13=TODAY()</formula>
    </cfRule>
  </conditionalFormatting>
  <conditionalFormatting sqref="B13:H13">
    <cfRule type="expression" dxfId="426" priority="3">
      <formula>N13=1</formula>
    </cfRule>
  </conditionalFormatting>
  <conditionalFormatting sqref="B13:H13">
    <cfRule type="expression" dxfId="427" priority="4">
      <formula>WEEKDAY(B13,2)&gt;5</formula>
    </cfRule>
  </conditionalFormatting>
  <conditionalFormatting sqref="B15:H15">
    <cfRule type="expression" dxfId="428" priority="1">
      <formula>MONTH(B15)&lt;&gt;6</formula>
    </cfRule>
  </conditionalFormatting>
  <conditionalFormatting sqref="B15:H15">
    <cfRule type="expression" dxfId="429" priority="2">
      <formula>B15=TODAY()</formula>
    </cfRule>
  </conditionalFormatting>
  <conditionalFormatting sqref="B15:H15">
    <cfRule type="expression" dxfId="430" priority="3">
      <formula>N15=1</formula>
    </cfRule>
  </conditionalFormatting>
  <conditionalFormatting sqref="B15:H15">
    <cfRule type="expression" dxfId="43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INDEX(MonthNames,7)&amp;" "&amp;CalYear</f>
        <v>July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DATE(CalYear,7,1)-WEEKDAY(DATE(CalYear,7,1),WeekType)+1+0</f>
        <v>46566</v>
      </c>
      <c r="C5" s="21">
        <f>DATE(CalYear,7,1)-WEEKDAY(DATE(CalYear,7,1),WeekType)+1+1</f>
        <v>46567</v>
      </c>
      <c r="D5" s="21">
        <f>DATE(CalYear,7,1)-WEEKDAY(DATE(CalYear,7,1),WeekType)+1+2</f>
        <v>46568</v>
      </c>
      <c r="E5" s="21">
        <f>DATE(CalYear,7,1)-WEEKDAY(DATE(CalYear,7,1),WeekType)+1+3</f>
        <v>46569</v>
      </c>
      <c r="F5" s="21">
        <f>DATE(CalYear,7,1)-WEEKDAY(DATE(CalYear,7,1),WeekType)+1+4</f>
        <v>46570</v>
      </c>
      <c r="G5" s="21">
        <f>DATE(CalYear,7,1)-WEEKDAY(DATE(CalYear,7,1),WeekType)+1+5</f>
        <v>46571</v>
      </c>
      <c r="H5" s="21">
        <f>DATE(CalYear,7,1)-WEEKDAY(DATE(CalYear,7,1),WeekType)+1+6</f>
        <v>46572</v>
      </c>
      <c r="J5" s="22">
        <f>IFERROR(INDEX(HolDate,MATCH(701,HolKey,0)),"")</f>
        <v>46572</v>
      </c>
      <c r="K5" s="23" t="str">
        <f>IFERROR(INDEX(HolName,MATCH(701,HolKey,0)),"")</f>
        <v>Independence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1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>
        <f>IFERROR(INDEX(HolDate,MATCH(702,HolKey,0)),"")</f>
        <v>46573</v>
      </c>
      <c r="K6" s="23" t="str">
        <f>IFERROR(INDEX(HolName,MATCH(702,HolKey,0)),"")</f>
        <v>Independence Day (substitute day)</v>
      </c>
    </row>
    <row r="7" ht="20" customHeight="1" spans="2:20" x14ac:dyDescent="0.25">
      <c r="B7" s="21">
        <f>DATE(CalYear,7,1)-WEEKDAY(DATE(CalYear,7,1),WeekType)+1+7</f>
        <v>46573</v>
      </c>
      <c r="C7" s="21">
        <f>DATE(CalYear,7,1)-WEEKDAY(DATE(CalYear,7,1),WeekType)+1+8</f>
        <v>46574</v>
      </c>
      <c r="D7" s="21">
        <f>DATE(CalYear,7,1)-WEEKDAY(DATE(CalYear,7,1),WeekType)+1+9</f>
        <v>46575</v>
      </c>
      <c r="E7" s="21">
        <f>DATE(CalYear,7,1)-WEEKDAY(DATE(CalYear,7,1),WeekType)+1+10</f>
        <v>46576</v>
      </c>
      <c r="F7" s="21">
        <f>DATE(CalYear,7,1)-WEEKDAY(DATE(CalYear,7,1),WeekType)+1+11</f>
        <v>46577</v>
      </c>
      <c r="G7" s="21">
        <f>DATE(CalYear,7,1)-WEEKDAY(DATE(CalYear,7,1),WeekType)+1+12</f>
        <v>46578</v>
      </c>
      <c r="H7" s="21">
        <f>DATE(CalYear,7,1)-WEEKDAY(DATE(CalYear,7,1),WeekType)+1+13</f>
        <v>46579</v>
      </c>
      <c r="J7" s="22" t="str">
        <f>IFERROR(INDEX(HolDate,MATCH(703,HolKey,0)),"")</f>
        <v/>
      </c>
      <c r="K7" s="23" t="str">
        <f>IFERROR(INDEX(HolName,MATCH(703,HolKey,0)),"")</f>
        <v/>
      </c>
      <c r="N7">
        <f>IF(COUNTIF(HolShownDate,B7)&gt;0,1,0)</f>
        <v>1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IFERROR(INDEX(HolDate,MATCH(704,HolKey,0)),"")</f>
        <v/>
      </c>
      <c r="K8" s="23" t="str">
        <f>IFERROR(INDEX(HolName,MATCH(704,HolKey,0)),"")</f>
        <v/>
      </c>
    </row>
    <row r="9" ht="20" customHeight="1" spans="2:20" x14ac:dyDescent="0.25">
      <c r="B9" s="21">
        <f>DATE(CalYear,7,1)-WEEKDAY(DATE(CalYear,7,1),WeekType)+1+14</f>
        <v>46580</v>
      </c>
      <c r="C9" s="21">
        <f>DATE(CalYear,7,1)-WEEKDAY(DATE(CalYear,7,1),WeekType)+1+15</f>
        <v>46581</v>
      </c>
      <c r="D9" s="21">
        <f>DATE(CalYear,7,1)-WEEKDAY(DATE(CalYear,7,1),WeekType)+1+16</f>
        <v>46582</v>
      </c>
      <c r="E9" s="21">
        <f>DATE(CalYear,7,1)-WEEKDAY(DATE(CalYear,7,1),WeekType)+1+17</f>
        <v>46583</v>
      </c>
      <c r="F9" s="21">
        <f>DATE(CalYear,7,1)-WEEKDAY(DATE(CalYear,7,1),WeekType)+1+18</f>
        <v>46584</v>
      </c>
      <c r="G9" s="21">
        <f>DATE(CalYear,7,1)-WEEKDAY(DATE(CalYear,7,1),WeekType)+1+19</f>
        <v>46585</v>
      </c>
      <c r="H9" s="21">
        <f>DATE(CalYear,7,1)-WEEKDAY(DATE(CalYear,7,1),WeekType)+1+20</f>
        <v>46586</v>
      </c>
      <c r="J9" s="22" t="str">
        <f>IFERROR(INDEX(HolDate,MATCH(705,HolKey,0)),"")</f>
        <v/>
      </c>
      <c r="K9" s="23" t="str">
        <f>IFERROR(INDEX(HolName,MATCH(705,HolKey,0)),"")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IFERROR(INDEX(HolDate,MATCH(706,HolKey,0)),"")</f>
        <v/>
      </c>
      <c r="K10" s="23" t="str">
        <f>IFERROR(INDEX(HolName,MATCH(706,HolKey,0)),"")</f>
        <v/>
      </c>
    </row>
    <row r="11" ht="20" customHeight="1" spans="2:20" x14ac:dyDescent="0.25">
      <c r="B11" s="21">
        <f>DATE(CalYear,7,1)-WEEKDAY(DATE(CalYear,7,1),WeekType)+1+21</f>
        <v>46587</v>
      </c>
      <c r="C11" s="21">
        <f>DATE(CalYear,7,1)-WEEKDAY(DATE(CalYear,7,1),WeekType)+1+22</f>
        <v>46588</v>
      </c>
      <c r="D11" s="21">
        <f>DATE(CalYear,7,1)-WEEKDAY(DATE(CalYear,7,1),WeekType)+1+23</f>
        <v>46589</v>
      </c>
      <c r="E11" s="21">
        <f>DATE(CalYear,7,1)-WEEKDAY(DATE(CalYear,7,1),WeekType)+1+24</f>
        <v>46590</v>
      </c>
      <c r="F11" s="21">
        <f>DATE(CalYear,7,1)-WEEKDAY(DATE(CalYear,7,1),WeekType)+1+25</f>
        <v>46591</v>
      </c>
      <c r="G11" s="21">
        <f>DATE(CalYear,7,1)-WEEKDAY(DATE(CalYear,7,1),WeekType)+1+26</f>
        <v>46592</v>
      </c>
      <c r="H11" s="21">
        <f>DATE(CalYear,7,1)-WEEKDAY(DATE(CalYear,7,1),WeekType)+1+27</f>
        <v>46593</v>
      </c>
      <c r="J11" s="22" t="str">
        <f>IFERROR(INDEX(HolDate,MATCH(707,HolKey,0)),"")</f>
        <v/>
      </c>
      <c r="K11" s="23" t="str">
        <f>IFERROR(INDEX(HolName,MATCH(707,HolKey,0)),"")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IFERROR(INDEX(HolDate,MATCH(708,HolKey,0)),"")</f>
        <v/>
      </c>
      <c r="K12" s="23" t="str">
        <f>IFERROR(INDEX(HolName,MATCH(708,HolKey,0)),"")</f>
        <v/>
      </c>
    </row>
    <row r="13" ht="20" customHeight="1" spans="2:20" x14ac:dyDescent="0.25">
      <c r="B13" s="21">
        <f>DATE(CalYear,7,1)-WEEKDAY(DATE(CalYear,7,1),WeekType)+1+28</f>
        <v>46594</v>
      </c>
      <c r="C13" s="21">
        <f>DATE(CalYear,7,1)-WEEKDAY(DATE(CalYear,7,1),WeekType)+1+29</f>
        <v>46595</v>
      </c>
      <c r="D13" s="21">
        <f>DATE(CalYear,7,1)-WEEKDAY(DATE(CalYear,7,1),WeekType)+1+30</f>
        <v>46596</v>
      </c>
      <c r="E13" s="21">
        <f>DATE(CalYear,7,1)-WEEKDAY(DATE(CalYear,7,1),WeekType)+1+31</f>
        <v>46597</v>
      </c>
      <c r="F13" s="21">
        <f>DATE(CalYear,7,1)-WEEKDAY(DATE(CalYear,7,1),WeekType)+1+32</f>
        <v>46598</v>
      </c>
      <c r="G13" s="21">
        <f>DATE(CalYear,7,1)-WEEKDAY(DATE(CalYear,7,1),WeekType)+1+33</f>
        <v>46599</v>
      </c>
      <c r="H13" s="21">
        <f>DATE(CalYear,7,1)-WEEKDAY(DATE(CalYear,7,1),WeekType)+1+34</f>
        <v>46600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DATE(CalYear,7,1)-WEEKDAY(DATE(CalYear,7,1),WeekType)+1+35</f>
        <v>46601</v>
      </c>
      <c r="C15" s="21">
        <f>DATE(CalYear,7,1)-WEEKDAY(DATE(CalYear,7,1),WeekType)+1+36</f>
        <v>46602</v>
      </c>
      <c r="D15" s="21">
        <f>DATE(CalYear,7,1)-WEEKDAY(DATE(CalYear,7,1),WeekType)+1+37</f>
        <v>46603</v>
      </c>
      <c r="E15" s="21">
        <f>DATE(CalYear,7,1)-WEEKDAY(DATE(CalYear,7,1),WeekType)+1+38</f>
        <v>46604</v>
      </c>
      <c r="F15" s="21">
        <f>DATE(CalYear,7,1)-WEEKDAY(DATE(CalYear,7,1),WeekType)+1+39</f>
        <v>46605</v>
      </c>
      <c r="G15" s="21">
        <f>DATE(CalYear,7,1)-WEEKDAY(DATE(CalYear,7,1),WeekType)+1+40</f>
        <v>46606</v>
      </c>
      <c r="H15" s="21">
        <f>DATE(CalYear,7,1)-WEEKDAY(DATE(CalYear,7,1),WeekType)+1+41</f>
        <v>46607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32" priority="1">
      <formula>MONTH(B5)&lt;&gt;7</formula>
    </cfRule>
  </conditionalFormatting>
  <conditionalFormatting sqref="B5:H5">
    <cfRule type="expression" dxfId="433" priority="2">
      <formula>B5=TODAY()</formula>
    </cfRule>
  </conditionalFormatting>
  <conditionalFormatting sqref="B5:H5">
    <cfRule type="expression" dxfId="434" priority="3">
      <formula>N5=1</formula>
    </cfRule>
  </conditionalFormatting>
  <conditionalFormatting sqref="B5:H5">
    <cfRule type="expression" dxfId="435" priority="4">
      <formula>WEEKDAY(B5,2)&gt;5</formula>
    </cfRule>
  </conditionalFormatting>
  <conditionalFormatting sqref="B7:H7">
    <cfRule type="expression" dxfId="436" priority="1">
      <formula>MONTH(B7)&lt;&gt;7</formula>
    </cfRule>
  </conditionalFormatting>
  <conditionalFormatting sqref="B7:H7">
    <cfRule type="expression" dxfId="437" priority="2">
      <formula>B7=TODAY()</formula>
    </cfRule>
  </conditionalFormatting>
  <conditionalFormatting sqref="B7:H7">
    <cfRule type="expression" dxfId="438" priority="3">
      <formula>N7=1</formula>
    </cfRule>
  </conditionalFormatting>
  <conditionalFormatting sqref="B7:H7">
    <cfRule type="expression" dxfId="439" priority="4">
      <formula>WEEKDAY(B7,2)&gt;5</formula>
    </cfRule>
  </conditionalFormatting>
  <conditionalFormatting sqref="B9:H9">
    <cfRule type="expression" dxfId="440" priority="1">
      <formula>MONTH(B9)&lt;&gt;7</formula>
    </cfRule>
  </conditionalFormatting>
  <conditionalFormatting sqref="B9:H9">
    <cfRule type="expression" dxfId="441" priority="2">
      <formula>B9=TODAY()</formula>
    </cfRule>
  </conditionalFormatting>
  <conditionalFormatting sqref="B9:H9">
    <cfRule type="expression" dxfId="442" priority="3">
      <formula>N9=1</formula>
    </cfRule>
  </conditionalFormatting>
  <conditionalFormatting sqref="B9:H9">
    <cfRule type="expression" dxfId="443" priority="4">
      <formula>WEEKDAY(B9,2)&gt;5</formula>
    </cfRule>
  </conditionalFormatting>
  <conditionalFormatting sqref="B11:H11">
    <cfRule type="expression" dxfId="444" priority="1">
      <formula>MONTH(B11)&lt;&gt;7</formula>
    </cfRule>
  </conditionalFormatting>
  <conditionalFormatting sqref="B11:H11">
    <cfRule type="expression" dxfId="445" priority="2">
      <formula>B11=TODAY()</formula>
    </cfRule>
  </conditionalFormatting>
  <conditionalFormatting sqref="B11:H11">
    <cfRule type="expression" dxfId="446" priority="3">
      <formula>N11=1</formula>
    </cfRule>
  </conditionalFormatting>
  <conditionalFormatting sqref="B11:H11">
    <cfRule type="expression" dxfId="447" priority="4">
      <formula>WEEKDAY(B11,2)&gt;5</formula>
    </cfRule>
  </conditionalFormatting>
  <conditionalFormatting sqref="B13:H13">
    <cfRule type="expression" dxfId="448" priority="1">
      <formula>MONTH(B13)&lt;&gt;7</formula>
    </cfRule>
  </conditionalFormatting>
  <conditionalFormatting sqref="B13:H13">
    <cfRule type="expression" dxfId="449" priority="2">
      <formula>B13=TODAY()</formula>
    </cfRule>
  </conditionalFormatting>
  <conditionalFormatting sqref="B13:H13">
    <cfRule type="expression" dxfId="450" priority="3">
      <formula>N13=1</formula>
    </cfRule>
  </conditionalFormatting>
  <conditionalFormatting sqref="B13:H13">
    <cfRule type="expression" dxfId="451" priority="4">
      <formula>WEEKDAY(B13,2)&gt;5</formula>
    </cfRule>
  </conditionalFormatting>
  <conditionalFormatting sqref="B15:H15">
    <cfRule type="expression" dxfId="452" priority="1">
      <formula>MONTH(B15)&lt;&gt;7</formula>
    </cfRule>
  </conditionalFormatting>
  <conditionalFormatting sqref="B15:H15">
    <cfRule type="expression" dxfId="453" priority="2">
      <formula>B15=TODAY()</formula>
    </cfRule>
  </conditionalFormatting>
  <conditionalFormatting sqref="B15:H15">
    <cfRule type="expression" dxfId="454" priority="3">
      <formula>N15=1</formula>
    </cfRule>
  </conditionalFormatting>
  <conditionalFormatting sqref="B15:H15">
    <cfRule type="expression" dxfId="45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INDEX(MonthNames,8)&amp;" "&amp;CalYear</f>
        <v>August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DATE(CalYear,8,1)-WEEKDAY(DATE(CalYear,8,1),WeekType)+1+0</f>
        <v>46594</v>
      </c>
      <c r="C5" s="21">
        <f>DATE(CalYear,8,1)-WEEKDAY(DATE(CalYear,8,1),WeekType)+1+1</f>
        <v>46595</v>
      </c>
      <c r="D5" s="21">
        <f>DATE(CalYear,8,1)-WEEKDAY(DATE(CalYear,8,1),WeekType)+1+2</f>
        <v>46596</v>
      </c>
      <c r="E5" s="21">
        <f>DATE(CalYear,8,1)-WEEKDAY(DATE(CalYear,8,1),WeekType)+1+3</f>
        <v>46597</v>
      </c>
      <c r="F5" s="21">
        <f>DATE(CalYear,8,1)-WEEKDAY(DATE(CalYear,8,1),WeekType)+1+4</f>
        <v>46598</v>
      </c>
      <c r="G5" s="21">
        <f>DATE(CalYear,8,1)-WEEKDAY(DATE(CalYear,8,1),WeekType)+1+5</f>
        <v>46599</v>
      </c>
      <c r="H5" s="21">
        <f>DATE(CalYear,8,1)-WEEKDAY(DATE(CalYear,8,1),WeekType)+1+6</f>
        <v>46600</v>
      </c>
      <c r="J5" s="22" t="str">
        <f>IFERROR(INDEX(HolDate,MATCH(801,HolKey,0)),"")</f>
        <v/>
      </c>
      <c r="K5" s="23" t="str">
        <f>IFERROR(INDEX(HolName,MATCH(801,HolKey,0)),"")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IFERROR(INDEX(HolDate,MATCH(802,HolKey,0)),"")</f>
        <v/>
      </c>
      <c r="K6" s="23" t="str">
        <f>IFERROR(INDEX(HolName,MATCH(802,HolKey,0)),"")</f>
        <v/>
      </c>
    </row>
    <row r="7" ht="20" customHeight="1" spans="2:20" x14ac:dyDescent="0.25">
      <c r="B7" s="21">
        <f>DATE(CalYear,8,1)-WEEKDAY(DATE(CalYear,8,1),WeekType)+1+7</f>
        <v>46601</v>
      </c>
      <c r="C7" s="21">
        <f>DATE(CalYear,8,1)-WEEKDAY(DATE(CalYear,8,1),WeekType)+1+8</f>
        <v>46602</v>
      </c>
      <c r="D7" s="21">
        <f>DATE(CalYear,8,1)-WEEKDAY(DATE(CalYear,8,1),WeekType)+1+9</f>
        <v>46603</v>
      </c>
      <c r="E7" s="21">
        <f>DATE(CalYear,8,1)-WEEKDAY(DATE(CalYear,8,1),WeekType)+1+10</f>
        <v>46604</v>
      </c>
      <c r="F7" s="21">
        <f>DATE(CalYear,8,1)-WEEKDAY(DATE(CalYear,8,1),WeekType)+1+11</f>
        <v>46605</v>
      </c>
      <c r="G7" s="21">
        <f>DATE(CalYear,8,1)-WEEKDAY(DATE(CalYear,8,1),WeekType)+1+12</f>
        <v>46606</v>
      </c>
      <c r="H7" s="21">
        <f>DATE(CalYear,8,1)-WEEKDAY(DATE(CalYear,8,1),WeekType)+1+13</f>
        <v>46607</v>
      </c>
      <c r="J7" s="22" t="str">
        <f>IFERROR(INDEX(HolDate,MATCH(803,HolKey,0)),"")</f>
        <v/>
      </c>
      <c r="K7" s="23" t="str">
        <f>IFERROR(INDEX(HolName,MATCH(803,HolKey,0)),"")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IFERROR(INDEX(HolDate,MATCH(804,HolKey,0)),"")</f>
        <v/>
      </c>
      <c r="K8" s="23" t="str">
        <f>IFERROR(INDEX(HolName,MATCH(804,HolKey,0)),"")</f>
        <v/>
      </c>
    </row>
    <row r="9" ht="20" customHeight="1" spans="2:20" x14ac:dyDescent="0.25">
      <c r="B9" s="21">
        <f>DATE(CalYear,8,1)-WEEKDAY(DATE(CalYear,8,1),WeekType)+1+14</f>
        <v>46608</v>
      </c>
      <c r="C9" s="21">
        <f>DATE(CalYear,8,1)-WEEKDAY(DATE(CalYear,8,1),WeekType)+1+15</f>
        <v>46609</v>
      </c>
      <c r="D9" s="21">
        <f>DATE(CalYear,8,1)-WEEKDAY(DATE(CalYear,8,1),WeekType)+1+16</f>
        <v>46610</v>
      </c>
      <c r="E9" s="21">
        <f>DATE(CalYear,8,1)-WEEKDAY(DATE(CalYear,8,1),WeekType)+1+17</f>
        <v>46611</v>
      </c>
      <c r="F9" s="21">
        <f>DATE(CalYear,8,1)-WEEKDAY(DATE(CalYear,8,1),WeekType)+1+18</f>
        <v>46612</v>
      </c>
      <c r="G9" s="21">
        <f>DATE(CalYear,8,1)-WEEKDAY(DATE(CalYear,8,1),WeekType)+1+19</f>
        <v>46613</v>
      </c>
      <c r="H9" s="21">
        <f>DATE(CalYear,8,1)-WEEKDAY(DATE(CalYear,8,1),WeekType)+1+20</f>
        <v>46614</v>
      </c>
      <c r="J9" s="22" t="str">
        <f>IFERROR(INDEX(HolDate,MATCH(805,HolKey,0)),"")</f>
        <v/>
      </c>
      <c r="K9" s="23" t="str">
        <f>IFERROR(INDEX(HolName,MATCH(805,HolKey,0)),"")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IFERROR(INDEX(HolDate,MATCH(806,HolKey,0)),"")</f>
        <v/>
      </c>
      <c r="K10" s="23" t="str">
        <f>IFERROR(INDEX(HolName,MATCH(806,HolKey,0)),"")</f>
        <v/>
      </c>
    </row>
    <row r="11" ht="20" customHeight="1" spans="2:20" x14ac:dyDescent="0.25">
      <c r="B11" s="21">
        <f>DATE(CalYear,8,1)-WEEKDAY(DATE(CalYear,8,1),WeekType)+1+21</f>
        <v>46615</v>
      </c>
      <c r="C11" s="21">
        <f>DATE(CalYear,8,1)-WEEKDAY(DATE(CalYear,8,1),WeekType)+1+22</f>
        <v>46616</v>
      </c>
      <c r="D11" s="21">
        <f>DATE(CalYear,8,1)-WEEKDAY(DATE(CalYear,8,1),WeekType)+1+23</f>
        <v>46617</v>
      </c>
      <c r="E11" s="21">
        <f>DATE(CalYear,8,1)-WEEKDAY(DATE(CalYear,8,1),WeekType)+1+24</f>
        <v>46618</v>
      </c>
      <c r="F11" s="21">
        <f>DATE(CalYear,8,1)-WEEKDAY(DATE(CalYear,8,1),WeekType)+1+25</f>
        <v>46619</v>
      </c>
      <c r="G11" s="21">
        <f>DATE(CalYear,8,1)-WEEKDAY(DATE(CalYear,8,1),WeekType)+1+26</f>
        <v>46620</v>
      </c>
      <c r="H11" s="21">
        <f>DATE(CalYear,8,1)-WEEKDAY(DATE(CalYear,8,1),WeekType)+1+27</f>
        <v>46621</v>
      </c>
      <c r="J11" s="22" t="str">
        <f>IFERROR(INDEX(HolDate,MATCH(807,HolKey,0)),"")</f>
        <v/>
      </c>
      <c r="K11" s="23" t="str">
        <f>IFERROR(INDEX(HolName,MATCH(807,HolKey,0)),"")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IFERROR(INDEX(HolDate,MATCH(808,HolKey,0)),"")</f>
        <v/>
      </c>
      <c r="K12" s="23" t="str">
        <f>IFERROR(INDEX(HolName,MATCH(808,HolKey,0)),"")</f>
        <v/>
      </c>
    </row>
    <row r="13" ht="20" customHeight="1" spans="2:20" x14ac:dyDescent="0.25">
      <c r="B13" s="21">
        <f>DATE(CalYear,8,1)-WEEKDAY(DATE(CalYear,8,1),WeekType)+1+28</f>
        <v>46622</v>
      </c>
      <c r="C13" s="21">
        <f>DATE(CalYear,8,1)-WEEKDAY(DATE(CalYear,8,1),WeekType)+1+29</f>
        <v>46623</v>
      </c>
      <c r="D13" s="21">
        <f>DATE(CalYear,8,1)-WEEKDAY(DATE(CalYear,8,1),WeekType)+1+30</f>
        <v>46624</v>
      </c>
      <c r="E13" s="21">
        <f>DATE(CalYear,8,1)-WEEKDAY(DATE(CalYear,8,1),WeekType)+1+31</f>
        <v>46625</v>
      </c>
      <c r="F13" s="21">
        <f>DATE(CalYear,8,1)-WEEKDAY(DATE(CalYear,8,1),WeekType)+1+32</f>
        <v>46626</v>
      </c>
      <c r="G13" s="21">
        <f>DATE(CalYear,8,1)-WEEKDAY(DATE(CalYear,8,1),WeekType)+1+33</f>
        <v>46627</v>
      </c>
      <c r="H13" s="21">
        <f>DATE(CalYear,8,1)-WEEKDAY(DATE(CalYear,8,1),WeekType)+1+34</f>
        <v>46628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DATE(CalYear,8,1)-WEEKDAY(DATE(CalYear,8,1),WeekType)+1+35</f>
        <v>46629</v>
      </c>
      <c r="C15" s="21">
        <f>DATE(CalYear,8,1)-WEEKDAY(DATE(CalYear,8,1),WeekType)+1+36</f>
        <v>46630</v>
      </c>
      <c r="D15" s="21">
        <f>DATE(CalYear,8,1)-WEEKDAY(DATE(CalYear,8,1),WeekType)+1+37</f>
        <v>46631</v>
      </c>
      <c r="E15" s="21">
        <f>DATE(CalYear,8,1)-WEEKDAY(DATE(CalYear,8,1),WeekType)+1+38</f>
        <v>46632</v>
      </c>
      <c r="F15" s="21">
        <f>DATE(CalYear,8,1)-WEEKDAY(DATE(CalYear,8,1),WeekType)+1+39</f>
        <v>46633</v>
      </c>
      <c r="G15" s="21">
        <f>DATE(CalYear,8,1)-WEEKDAY(DATE(CalYear,8,1),WeekType)+1+40</f>
        <v>46634</v>
      </c>
      <c r="H15" s="21">
        <f>DATE(CalYear,8,1)-WEEKDAY(DATE(CalYear,8,1),WeekType)+1+41</f>
        <v>46635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56" priority="1">
      <formula>MONTH(B5)&lt;&gt;8</formula>
    </cfRule>
  </conditionalFormatting>
  <conditionalFormatting sqref="B5:H5">
    <cfRule type="expression" dxfId="457" priority="2">
      <formula>B5=TODAY()</formula>
    </cfRule>
  </conditionalFormatting>
  <conditionalFormatting sqref="B5:H5">
    <cfRule type="expression" dxfId="458" priority="3">
      <formula>N5=1</formula>
    </cfRule>
  </conditionalFormatting>
  <conditionalFormatting sqref="B5:H5">
    <cfRule type="expression" dxfId="459" priority="4">
      <formula>WEEKDAY(B5,2)&gt;5</formula>
    </cfRule>
  </conditionalFormatting>
  <conditionalFormatting sqref="B7:H7">
    <cfRule type="expression" dxfId="460" priority="1">
      <formula>MONTH(B7)&lt;&gt;8</formula>
    </cfRule>
  </conditionalFormatting>
  <conditionalFormatting sqref="B7:H7">
    <cfRule type="expression" dxfId="461" priority="2">
      <formula>B7=TODAY()</formula>
    </cfRule>
  </conditionalFormatting>
  <conditionalFormatting sqref="B7:H7">
    <cfRule type="expression" dxfId="462" priority="3">
      <formula>N7=1</formula>
    </cfRule>
  </conditionalFormatting>
  <conditionalFormatting sqref="B7:H7">
    <cfRule type="expression" dxfId="463" priority="4">
      <formula>WEEKDAY(B7,2)&gt;5</formula>
    </cfRule>
  </conditionalFormatting>
  <conditionalFormatting sqref="B9:H9">
    <cfRule type="expression" dxfId="464" priority="1">
      <formula>MONTH(B9)&lt;&gt;8</formula>
    </cfRule>
  </conditionalFormatting>
  <conditionalFormatting sqref="B9:H9">
    <cfRule type="expression" dxfId="465" priority="2">
      <formula>B9=TODAY()</formula>
    </cfRule>
  </conditionalFormatting>
  <conditionalFormatting sqref="B9:H9">
    <cfRule type="expression" dxfId="466" priority="3">
      <formula>N9=1</formula>
    </cfRule>
  </conditionalFormatting>
  <conditionalFormatting sqref="B9:H9">
    <cfRule type="expression" dxfId="467" priority="4">
      <formula>WEEKDAY(B9,2)&gt;5</formula>
    </cfRule>
  </conditionalFormatting>
  <conditionalFormatting sqref="B11:H11">
    <cfRule type="expression" dxfId="468" priority="1">
      <formula>MONTH(B11)&lt;&gt;8</formula>
    </cfRule>
  </conditionalFormatting>
  <conditionalFormatting sqref="B11:H11">
    <cfRule type="expression" dxfId="469" priority="2">
      <formula>B11=TODAY()</formula>
    </cfRule>
  </conditionalFormatting>
  <conditionalFormatting sqref="B11:H11">
    <cfRule type="expression" dxfId="470" priority="3">
      <formula>N11=1</formula>
    </cfRule>
  </conditionalFormatting>
  <conditionalFormatting sqref="B11:H11">
    <cfRule type="expression" dxfId="471" priority="4">
      <formula>WEEKDAY(B11,2)&gt;5</formula>
    </cfRule>
  </conditionalFormatting>
  <conditionalFormatting sqref="B13:H13">
    <cfRule type="expression" dxfId="472" priority="1">
      <formula>MONTH(B13)&lt;&gt;8</formula>
    </cfRule>
  </conditionalFormatting>
  <conditionalFormatting sqref="B13:H13">
    <cfRule type="expression" dxfId="473" priority="2">
      <formula>B13=TODAY()</formula>
    </cfRule>
  </conditionalFormatting>
  <conditionalFormatting sqref="B13:H13">
    <cfRule type="expression" dxfId="474" priority="3">
      <formula>N13=1</formula>
    </cfRule>
  </conditionalFormatting>
  <conditionalFormatting sqref="B13:H13">
    <cfRule type="expression" dxfId="475" priority="4">
      <formula>WEEKDAY(B13,2)&gt;5</formula>
    </cfRule>
  </conditionalFormatting>
  <conditionalFormatting sqref="B15:H15">
    <cfRule type="expression" dxfId="476" priority="1">
      <formula>MONTH(B15)&lt;&gt;8</formula>
    </cfRule>
  </conditionalFormatting>
  <conditionalFormatting sqref="B15:H15">
    <cfRule type="expression" dxfId="477" priority="2">
      <formula>B15=TODAY()</formula>
    </cfRule>
  </conditionalFormatting>
  <conditionalFormatting sqref="B15:H15">
    <cfRule type="expression" dxfId="478" priority="3">
      <formula>N15=1</formula>
    </cfRule>
  </conditionalFormatting>
  <conditionalFormatting sqref="B15:H15">
    <cfRule type="expression" dxfId="479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INDEX(MonthNames,9)&amp;" "&amp;CalYear</f>
        <v>September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DATE(CalYear,9,1)-WEEKDAY(DATE(CalYear,9,1),WeekType)+1+0</f>
        <v>46629</v>
      </c>
      <c r="C5" s="21">
        <f>DATE(CalYear,9,1)-WEEKDAY(DATE(CalYear,9,1),WeekType)+1+1</f>
        <v>46630</v>
      </c>
      <c r="D5" s="21">
        <f>DATE(CalYear,9,1)-WEEKDAY(DATE(CalYear,9,1),WeekType)+1+2</f>
        <v>46631</v>
      </c>
      <c r="E5" s="21">
        <f>DATE(CalYear,9,1)-WEEKDAY(DATE(CalYear,9,1),WeekType)+1+3</f>
        <v>46632</v>
      </c>
      <c r="F5" s="21">
        <f>DATE(CalYear,9,1)-WEEKDAY(DATE(CalYear,9,1),WeekType)+1+4</f>
        <v>46633</v>
      </c>
      <c r="G5" s="21">
        <f>DATE(CalYear,9,1)-WEEKDAY(DATE(CalYear,9,1),WeekType)+1+5</f>
        <v>46634</v>
      </c>
      <c r="H5" s="21">
        <f>DATE(CalYear,9,1)-WEEKDAY(DATE(CalYear,9,1),WeekType)+1+6</f>
        <v>46635</v>
      </c>
      <c r="J5" s="22">
        <f>IFERROR(INDEX(HolDate,MATCH(901,HolKey,0)),"")</f>
        <v>46636</v>
      </c>
      <c r="K5" s="23" t="str">
        <f>IFERROR(INDEX(HolName,MATCH(901,HolKey,0)),"")</f>
        <v>Labour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IFERROR(INDEX(HolDate,MATCH(902,HolKey,0)),"")</f>
        <v/>
      </c>
      <c r="K6" s="23" t="str">
        <f>IFERROR(INDEX(HolName,MATCH(902,HolKey,0)),"")</f>
        <v/>
      </c>
    </row>
    <row r="7" ht="20" customHeight="1" spans="2:20" x14ac:dyDescent="0.25">
      <c r="B7" s="21">
        <f>DATE(CalYear,9,1)-WEEKDAY(DATE(CalYear,9,1),WeekType)+1+7</f>
        <v>46636</v>
      </c>
      <c r="C7" s="21">
        <f>DATE(CalYear,9,1)-WEEKDAY(DATE(CalYear,9,1),WeekType)+1+8</f>
        <v>46637</v>
      </c>
      <c r="D7" s="21">
        <f>DATE(CalYear,9,1)-WEEKDAY(DATE(CalYear,9,1),WeekType)+1+9</f>
        <v>46638</v>
      </c>
      <c r="E7" s="21">
        <f>DATE(CalYear,9,1)-WEEKDAY(DATE(CalYear,9,1),WeekType)+1+10</f>
        <v>46639</v>
      </c>
      <c r="F7" s="21">
        <f>DATE(CalYear,9,1)-WEEKDAY(DATE(CalYear,9,1),WeekType)+1+11</f>
        <v>46640</v>
      </c>
      <c r="G7" s="21">
        <f>DATE(CalYear,9,1)-WEEKDAY(DATE(CalYear,9,1),WeekType)+1+12</f>
        <v>46641</v>
      </c>
      <c r="H7" s="21">
        <f>DATE(CalYear,9,1)-WEEKDAY(DATE(CalYear,9,1),WeekType)+1+13</f>
        <v>46642</v>
      </c>
      <c r="J7" s="22" t="str">
        <f>IFERROR(INDEX(HolDate,MATCH(903,HolKey,0)),"")</f>
        <v/>
      </c>
      <c r="K7" s="23" t="str">
        <f>IFERROR(INDEX(HolName,MATCH(903,HolKey,0)),"")</f>
        <v/>
      </c>
      <c r="N7">
        <f>IF(COUNTIF(HolShownDate,B7)&gt;0,1,0)</f>
        <v>1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IFERROR(INDEX(HolDate,MATCH(904,HolKey,0)),"")</f>
        <v/>
      </c>
      <c r="K8" s="23" t="str">
        <f>IFERROR(INDEX(HolName,MATCH(904,HolKey,0)),"")</f>
        <v/>
      </c>
    </row>
    <row r="9" ht="20" customHeight="1" spans="2:20" x14ac:dyDescent="0.25">
      <c r="B9" s="21">
        <f>DATE(CalYear,9,1)-WEEKDAY(DATE(CalYear,9,1),WeekType)+1+14</f>
        <v>46643</v>
      </c>
      <c r="C9" s="21">
        <f>DATE(CalYear,9,1)-WEEKDAY(DATE(CalYear,9,1),WeekType)+1+15</f>
        <v>46644</v>
      </c>
      <c r="D9" s="21">
        <f>DATE(CalYear,9,1)-WEEKDAY(DATE(CalYear,9,1),WeekType)+1+16</f>
        <v>46645</v>
      </c>
      <c r="E9" s="21">
        <f>DATE(CalYear,9,1)-WEEKDAY(DATE(CalYear,9,1),WeekType)+1+17</f>
        <v>46646</v>
      </c>
      <c r="F9" s="21">
        <f>DATE(CalYear,9,1)-WEEKDAY(DATE(CalYear,9,1),WeekType)+1+18</f>
        <v>46647</v>
      </c>
      <c r="G9" s="21">
        <f>DATE(CalYear,9,1)-WEEKDAY(DATE(CalYear,9,1),WeekType)+1+19</f>
        <v>46648</v>
      </c>
      <c r="H9" s="21">
        <f>DATE(CalYear,9,1)-WEEKDAY(DATE(CalYear,9,1),WeekType)+1+20</f>
        <v>46649</v>
      </c>
      <c r="J9" s="22" t="str">
        <f>IFERROR(INDEX(HolDate,MATCH(905,HolKey,0)),"")</f>
        <v/>
      </c>
      <c r="K9" s="23" t="str">
        <f>IFERROR(INDEX(HolName,MATCH(905,HolKey,0)),"")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IFERROR(INDEX(HolDate,MATCH(906,HolKey,0)),"")</f>
        <v/>
      </c>
      <c r="K10" s="23" t="str">
        <f>IFERROR(INDEX(HolName,MATCH(906,HolKey,0)),"")</f>
        <v/>
      </c>
    </row>
    <row r="11" ht="20" customHeight="1" spans="2:20" x14ac:dyDescent="0.25">
      <c r="B11" s="21">
        <f>DATE(CalYear,9,1)-WEEKDAY(DATE(CalYear,9,1),WeekType)+1+21</f>
        <v>46650</v>
      </c>
      <c r="C11" s="21">
        <f>DATE(CalYear,9,1)-WEEKDAY(DATE(CalYear,9,1),WeekType)+1+22</f>
        <v>46651</v>
      </c>
      <c r="D11" s="21">
        <f>DATE(CalYear,9,1)-WEEKDAY(DATE(CalYear,9,1),WeekType)+1+23</f>
        <v>46652</v>
      </c>
      <c r="E11" s="21">
        <f>DATE(CalYear,9,1)-WEEKDAY(DATE(CalYear,9,1),WeekType)+1+24</f>
        <v>46653</v>
      </c>
      <c r="F11" s="21">
        <f>DATE(CalYear,9,1)-WEEKDAY(DATE(CalYear,9,1),WeekType)+1+25</f>
        <v>46654</v>
      </c>
      <c r="G11" s="21">
        <f>DATE(CalYear,9,1)-WEEKDAY(DATE(CalYear,9,1),WeekType)+1+26</f>
        <v>46655</v>
      </c>
      <c r="H11" s="21">
        <f>DATE(CalYear,9,1)-WEEKDAY(DATE(CalYear,9,1),WeekType)+1+27</f>
        <v>46656</v>
      </c>
      <c r="J11" s="22" t="str">
        <f>IFERROR(INDEX(HolDate,MATCH(907,HolKey,0)),"")</f>
        <v/>
      </c>
      <c r="K11" s="23" t="str">
        <f>IFERROR(INDEX(HolName,MATCH(907,HolKey,0)),"")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IFERROR(INDEX(HolDate,MATCH(908,HolKey,0)),"")</f>
        <v/>
      </c>
      <c r="K12" s="23" t="str">
        <f>IFERROR(INDEX(HolName,MATCH(908,HolKey,0)),"")</f>
        <v/>
      </c>
    </row>
    <row r="13" ht="20" customHeight="1" spans="2:20" x14ac:dyDescent="0.25">
      <c r="B13" s="21">
        <f>DATE(CalYear,9,1)-WEEKDAY(DATE(CalYear,9,1),WeekType)+1+28</f>
        <v>46657</v>
      </c>
      <c r="C13" s="21">
        <f>DATE(CalYear,9,1)-WEEKDAY(DATE(CalYear,9,1),WeekType)+1+29</f>
        <v>46658</v>
      </c>
      <c r="D13" s="21">
        <f>DATE(CalYear,9,1)-WEEKDAY(DATE(CalYear,9,1),WeekType)+1+30</f>
        <v>46659</v>
      </c>
      <c r="E13" s="21">
        <f>DATE(CalYear,9,1)-WEEKDAY(DATE(CalYear,9,1),WeekType)+1+31</f>
        <v>46660</v>
      </c>
      <c r="F13" s="21">
        <f>DATE(CalYear,9,1)-WEEKDAY(DATE(CalYear,9,1),WeekType)+1+32</f>
        <v>46661</v>
      </c>
      <c r="G13" s="21">
        <f>DATE(CalYear,9,1)-WEEKDAY(DATE(CalYear,9,1),WeekType)+1+33</f>
        <v>46662</v>
      </c>
      <c r="H13" s="21">
        <f>DATE(CalYear,9,1)-WEEKDAY(DATE(CalYear,9,1),WeekType)+1+34</f>
        <v>46663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DATE(CalYear,9,1)-WEEKDAY(DATE(CalYear,9,1),WeekType)+1+35</f>
        <v>46664</v>
      </c>
      <c r="C15" s="21">
        <f>DATE(CalYear,9,1)-WEEKDAY(DATE(CalYear,9,1),WeekType)+1+36</f>
        <v>46665</v>
      </c>
      <c r="D15" s="21">
        <f>DATE(CalYear,9,1)-WEEKDAY(DATE(CalYear,9,1),WeekType)+1+37</f>
        <v>46666</v>
      </c>
      <c r="E15" s="21">
        <f>DATE(CalYear,9,1)-WEEKDAY(DATE(CalYear,9,1),WeekType)+1+38</f>
        <v>46667</v>
      </c>
      <c r="F15" s="21">
        <f>DATE(CalYear,9,1)-WEEKDAY(DATE(CalYear,9,1),WeekType)+1+39</f>
        <v>46668</v>
      </c>
      <c r="G15" s="21">
        <f>DATE(CalYear,9,1)-WEEKDAY(DATE(CalYear,9,1),WeekType)+1+40</f>
        <v>46669</v>
      </c>
      <c r="H15" s="21">
        <f>DATE(CalYear,9,1)-WEEKDAY(DATE(CalYear,9,1),WeekType)+1+41</f>
        <v>46670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80" priority="1">
      <formula>MONTH(B5)&lt;&gt;9</formula>
    </cfRule>
  </conditionalFormatting>
  <conditionalFormatting sqref="B5:H5">
    <cfRule type="expression" dxfId="481" priority="2">
      <formula>B5=TODAY()</formula>
    </cfRule>
  </conditionalFormatting>
  <conditionalFormatting sqref="B5:H5">
    <cfRule type="expression" dxfId="482" priority="3">
      <formula>N5=1</formula>
    </cfRule>
  </conditionalFormatting>
  <conditionalFormatting sqref="B5:H5">
    <cfRule type="expression" dxfId="483" priority="4">
      <formula>WEEKDAY(B5,2)&gt;5</formula>
    </cfRule>
  </conditionalFormatting>
  <conditionalFormatting sqref="B7:H7">
    <cfRule type="expression" dxfId="484" priority="1">
      <formula>MONTH(B7)&lt;&gt;9</formula>
    </cfRule>
  </conditionalFormatting>
  <conditionalFormatting sqref="B7:H7">
    <cfRule type="expression" dxfId="485" priority="2">
      <formula>B7=TODAY()</formula>
    </cfRule>
  </conditionalFormatting>
  <conditionalFormatting sqref="B7:H7">
    <cfRule type="expression" dxfId="486" priority="3">
      <formula>N7=1</formula>
    </cfRule>
  </conditionalFormatting>
  <conditionalFormatting sqref="B7:H7">
    <cfRule type="expression" dxfId="487" priority="4">
      <formula>WEEKDAY(B7,2)&gt;5</formula>
    </cfRule>
  </conditionalFormatting>
  <conditionalFormatting sqref="B9:H9">
    <cfRule type="expression" dxfId="488" priority="1">
      <formula>MONTH(B9)&lt;&gt;9</formula>
    </cfRule>
  </conditionalFormatting>
  <conditionalFormatting sqref="B9:H9">
    <cfRule type="expression" dxfId="489" priority="2">
      <formula>B9=TODAY()</formula>
    </cfRule>
  </conditionalFormatting>
  <conditionalFormatting sqref="B9:H9">
    <cfRule type="expression" dxfId="490" priority="3">
      <formula>N9=1</formula>
    </cfRule>
  </conditionalFormatting>
  <conditionalFormatting sqref="B9:H9">
    <cfRule type="expression" dxfId="491" priority="4">
      <formula>WEEKDAY(B9,2)&gt;5</formula>
    </cfRule>
  </conditionalFormatting>
  <conditionalFormatting sqref="B11:H11">
    <cfRule type="expression" dxfId="492" priority="1">
      <formula>MONTH(B11)&lt;&gt;9</formula>
    </cfRule>
  </conditionalFormatting>
  <conditionalFormatting sqref="B11:H11">
    <cfRule type="expression" dxfId="493" priority="2">
      <formula>B11=TODAY()</formula>
    </cfRule>
  </conditionalFormatting>
  <conditionalFormatting sqref="B11:H11">
    <cfRule type="expression" dxfId="494" priority="3">
      <formula>N11=1</formula>
    </cfRule>
  </conditionalFormatting>
  <conditionalFormatting sqref="B11:H11">
    <cfRule type="expression" dxfId="495" priority="4">
      <formula>WEEKDAY(B11,2)&gt;5</formula>
    </cfRule>
  </conditionalFormatting>
  <conditionalFormatting sqref="B13:H13">
    <cfRule type="expression" dxfId="496" priority="1">
      <formula>MONTH(B13)&lt;&gt;9</formula>
    </cfRule>
  </conditionalFormatting>
  <conditionalFormatting sqref="B13:H13">
    <cfRule type="expression" dxfId="497" priority="2">
      <formula>B13=TODAY()</formula>
    </cfRule>
  </conditionalFormatting>
  <conditionalFormatting sqref="B13:H13">
    <cfRule type="expression" dxfId="498" priority="3">
      <formula>N13=1</formula>
    </cfRule>
  </conditionalFormatting>
  <conditionalFormatting sqref="B13:H13">
    <cfRule type="expression" dxfId="499" priority="4">
      <formula>WEEKDAY(B13,2)&gt;5</formula>
    </cfRule>
  </conditionalFormatting>
  <conditionalFormatting sqref="B15:H15">
    <cfRule type="expression" dxfId="500" priority="1">
      <formula>MONTH(B15)&lt;&gt;9</formula>
    </cfRule>
  </conditionalFormatting>
  <conditionalFormatting sqref="B15:H15">
    <cfRule type="expression" dxfId="501" priority="2">
      <formula>B15=TODAY()</formula>
    </cfRule>
  </conditionalFormatting>
  <conditionalFormatting sqref="B15:H15">
    <cfRule type="expression" dxfId="502" priority="3">
      <formula>N15=1</formula>
    </cfRule>
  </conditionalFormatting>
  <conditionalFormatting sqref="B15:H15">
    <cfRule type="expression" dxfId="503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INDEX(MonthNames,10)&amp;" "&amp;CalYear</f>
        <v>October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DATE(CalYear,10,1)-WEEKDAY(DATE(CalYear,10,1),WeekType)+1+0</f>
        <v>46657</v>
      </c>
      <c r="C5" s="21">
        <f>DATE(CalYear,10,1)-WEEKDAY(DATE(CalYear,10,1),WeekType)+1+1</f>
        <v>46658</v>
      </c>
      <c r="D5" s="21">
        <f>DATE(CalYear,10,1)-WEEKDAY(DATE(CalYear,10,1),WeekType)+1+2</f>
        <v>46659</v>
      </c>
      <c r="E5" s="21">
        <f>DATE(CalYear,10,1)-WEEKDAY(DATE(CalYear,10,1),WeekType)+1+3</f>
        <v>46660</v>
      </c>
      <c r="F5" s="21">
        <f>DATE(CalYear,10,1)-WEEKDAY(DATE(CalYear,10,1),WeekType)+1+4</f>
        <v>46661</v>
      </c>
      <c r="G5" s="21">
        <f>DATE(CalYear,10,1)-WEEKDAY(DATE(CalYear,10,1),WeekType)+1+5</f>
        <v>46662</v>
      </c>
      <c r="H5" s="21">
        <f>DATE(CalYear,10,1)-WEEKDAY(DATE(CalYear,10,1),WeekType)+1+6</f>
        <v>46663</v>
      </c>
      <c r="J5" s="22">
        <f>IFERROR(INDEX(HolDate,MATCH(1001,HolKey,0)),"")</f>
        <v>46671</v>
      </c>
      <c r="K5" s="23" t="str">
        <f>IFERROR(INDEX(HolName,MATCH(1001,HolKey,0)),"")</f>
        <v>Columbus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IFERROR(INDEX(HolDate,MATCH(1002,HolKey,0)),"")</f>
        <v/>
      </c>
      <c r="K6" s="23" t="str">
        <f>IFERROR(INDEX(HolName,MATCH(1002,HolKey,0)),"")</f>
        <v/>
      </c>
    </row>
    <row r="7" ht="20" customHeight="1" spans="2:20" x14ac:dyDescent="0.25">
      <c r="B7" s="21">
        <f>DATE(CalYear,10,1)-WEEKDAY(DATE(CalYear,10,1),WeekType)+1+7</f>
        <v>46664</v>
      </c>
      <c r="C7" s="21">
        <f>DATE(CalYear,10,1)-WEEKDAY(DATE(CalYear,10,1),WeekType)+1+8</f>
        <v>46665</v>
      </c>
      <c r="D7" s="21">
        <f>DATE(CalYear,10,1)-WEEKDAY(DATE(CalYear,10,1),WeekType)+1+9</f>
        <v>46666</v>
      </c>
      <c r="E7" s="21">
        <f>DATE(CalYear,10,1)-WEEKDAY(DATE(CalYear,10,1),WeekType)+1+10</f>
        <v>46667</v>
      </c>
      <c r="F7" s="21">
        <f>DATE(CalYear,10,1)-WEEKDAY(DATE(CalYear,10,1),WeekType)+1+11</f>
        <v>46668</v>
      </c>
      <c r="G7" s="21">
        <f>DATE(CalYear,10,1)-WEEKDAY(DATE(CalYear,10,1),WeekType)+1+12</f>
        <v>46669</v>
      </c>
      <c r="H7" s="21">
        <f>DATE(CalYear,10,1)-WEEKDAY(DATE(CalYear,10,1),WeekType)+1+13</f>
        <v>46670</v>
      </c>
      <c r="J7" s="22" t="str">
        <f>IFERROR(INDEX(HolDate,MATCH(1003,HolKey,0)),"")</f>
        <v/>
      </c>
      <c r="K7" s="23" t="str">
        <f>IFERROR(INDEX(HolName,MATCH(1003,HolKey,0)),"")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IFERROR(INDEX(HolDate,MATCH(1004,HolKey,0)),"")</f>
        <v/>
      </c>
      <c r="K8" s="23" t="str">
        <f>IFERROR(INDEX(HolName,MATCH(1004,HolKey,0)),"")</f>
        <v/>
      </c>
    </row>
    <row r="9" ht="20" customHeight="1" spans="2:20" x14ac:dyDescent="0.25">
      <c r="B9" s="21">
        <f>DATE(CalYear,10,1)-WEEKDAY(DATE(CalYear,10,1),WeekType)+1+14</f>
        <v>46671</v>
      </c>
      <c r="C9" s="21">
        <f>DATE(CalYear,10,1)-WEEKDAY(DATE(CalYear,10,1),WeekType)+1+15</f>
        <v>46672</v>
      </c>
      <c r="D9" s="21">
        <f>DATE(CalYear,10,1)-WEEKDAY(DATE(CalYear,10,1),WeekType)+1+16</f>
        <v>46673</v>
      </c>
      <c r="E9" s="21">
        <f>DATE(CalYear,10,1)-WEEKDAY(DATE(CalYear,10,1),WeekType)+1+17</f>
        <v>46674</v>
      </c>
      <c r="F9" s="21">
        <f>DATE(CalYear,10,1)-WEEKDAY(DATE(CalYear,10,1),WeekType)+1+18</f>
        <v>46675</v>
      </c>
      <c r="G9" s="21">
        <f>DATE(CalYear,10,1)-WEEKDAY(DATE(CalYear,10,1),WeekType)+1+19</f>
        <v>46676</v>
      </c>
      <c r="H9" s="21">
        <f>DATE(CalYear,10,1)-WEEKDAY(DATE(CalYear,10,1),WeekType)+1+20</f>
        <v>46677</v>
      </c>
      <c r="J9" s="22" t="str">
        <f>IFERROR(INDEX(HolDate,MATCH(1005,HolKey,0)),"")</f>
        <v/>
      </c>
      <c r="K9" s="23" t="str">
        <f>IFERROR(INDEX(HolName,MATCH(1005,HolKey,0)),"")</f>
        <v/>
      </c>
      <c r="N9">
        <f>IF(COUNTIF(HolShownDate,B9)&gt;0,1,0)</f>
        <v>1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IFERROR(INDEX(HolDate,MATCH(1006,HolKey,0)),"")</f>
        <v/>
      </c>
      <c r="K10" s="23" t="str">
        <f>IFERROR(INDEX(HolName,MATCH(1006,HolKey,0)),"")</f>
        <v/>
      </c>
    </row>
    <row r="11" ht="20" customHeight="1" spans="2:20" x14ac:dyDescent="0.25">
      <c r="B11" s="21">
        <f>DATE(CalYear,10,1)-WEEKDAY(DATE(CalYear,10,1),WeekType)+1+21</f>
        <v>46678</v>
      </c>
      <c r="C11" s="21">
        <f>DATE(CalYear,10,1)-WEEKDAY(DATE(CalYear,10,1),WeekType)+1+22</f>
        <v>46679</v>
      </c>
      <c r="D11" s="21">
        <f>DATE(CalYear,10,1)-WEEKDAY(DATE(CalYear,10,1),WeekType)+1+23</f>
        <v>46680</v>
      </c>
      <c r="E11" s="21">
        <f>DATE(CalYear,10,1)-WEEKDAY(DATE(CalYear,10,1),WeekType)+1+24</f>
        <v>46681</v>
      </c>
      <c r="F11" s="21">
        <f>DATE(CalYear,10,1)-WEEKDAY(DATE(CalYear,10,1),WeekType)+1+25</f>
        <v>46682</v>
      </c>
      <c r="G11" s="21">
        <f>DATE(CalYear,10,1)-WEEKDAY(DATE(CalYear,10,1),WeekType)+1+26</f>
        <v>46683</v>
      </c>
      <c r="H11" s="21">
        <f>DATE(CalYear,10,1)-WEEKDAY(DATE(CalYear,10,1),WeekType)+1+27</f>
        <v>46684</v>
      </c>
      <c r="J11" s="22" t="str">
        <f>IFERROR(INDEX(HolDate,MATCH(1007,HolKey,0)),"")</f>
        <v/>
      </c>
      <c r="K11" s="23" t="str">
        <f>IFERROR(INDEX(HolName,MATCH(1007,HolKey,0)),"")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IFERROR(INDEX(HolDate,MATCH(1008,HolKey,0)),"")</f>
        <v/>
      </c>
      <c r="K12" s="23" t="str">
        <f>IFERROR(INDEX(HolName,MATCH(1008,HolKey,0)),"")</f>
        <v/>
      </c>
    </row>
    <row r="13" ht="20" customHeight="1" spans="2:20" x14ac:dyDescent="0.25">
      <c r="B13" s="21">
        <f>DATE(CalYear,10,1)-WEEKDAY(DATE(CalYear,10,1),WeekType)+1+28</f>
        <v>46685</v>
      </c>
      <c r="C13" s="21">
        <f>DATE(CalYear,10,1)-WEEKDAY(DATE(CalYear,10,1),WeekType)+1+29</f>
        <v>46686</v>
      </c>
      <c r="D13" s="21">
        <f>DATE(CalYear,10,1)-WEEKDAY(DATE(CalYear,10,1),WeekType)+1+30</f>
        <v>46687</v>
      </c>
      <c r="E13" s="21">
        <f>DATE(CalYear,10,1)-WEEKDAY(DATE(CalYear,10,1),WeekType)+1+31</f>
        <v>46688</v>
      </c>
      <c r="F13" s="21">
        <f>DATE(CalYear,10,1)-WEEKDAY(DATE(CalYear,10,1),WeekType)+1+32</f>
        <v>46689</v>
      </c>
      <c r="G13" s="21">
        <f>DATE(CalYear,10,1)-WEEKDAY(DATE(CalYear,10,1),WeekType)+1+33</f>
        <v>46690</v>
      </c>
      <c r="H13" s="21">
        <f>DATE(CalYear,10,1)-WEEKDAY(DATE(CalYear,10,1),WeekType)+1+34</f>
        <v>46691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DATE(CalYear,10,1)-WEEKDAY(DATE(CalYear,10,1),WeekType)+1+35</f>
        <v>46692</v>
      </c>
      <c r="C15" s="21">
        <f>DATE(CalYear,10,1)-WEEKDAY(DATE(CalYear,10,1),WeekType)+1+36</f>
        <v>46693</v>
      </c>
      <c r="D15" s="21">
        <f>DATE(CalYear,10,1)-WEEKDAY(DATE(CalYear,10,1),WeekType)+1+37</f>
        <v>46694</v>
      </c>
      <c r="E15" s="21">
        <f>DATE(CalYear,10,1)-WEEKDAY(DATE(CalYear,10,1),WeekType)+1+38</f>
        <v>46695</v>
      </c>
      <c r="F15" s="21">
        <f>DATE(CalYear,10,1)-WEEKDAY(DATE(CalYear,10,1),WeekType)+1+39</f>
        <v>46696</v>
      </c>
      <c r="G15" s="21">
        <f>DATE(CalYear,10,1)-WEEKDAY(DATE(CalYear,10,1),WeekType)+1+40</f>
        <v>46697</v>
      </c>
      <c r="H15" s="21">
        <f>DATE(CalYear,10,1)-WEEKDAY(DATE(CalYear,10,1),WeekType)+1+41</f>
        <v>46698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04" priority="1">
      <formula>MONTH(B5)&lt;&gt;10</formula>
    </cfRule>
  </conditionalFormatting>
  <conditionalFormatting sqref="B5:H5">
    <cfRule type="expression" dxfId="505" priority="2">
      <formula>B5=TODAY()</formula>
    </cfRule>
  </conditionalFormatting>
  <conditionalFormatting sqref="B5:H5">
    <cfRule type="expression" dxfId="506" priority="3">
      <formula>N5=1</formula>
    </cfRule>
  </conditionalFormatting>
  <conditionalFormatting sqref="B5:H5">
    <cfRule type="expression" dxfId="507" priority="4">
      <formula>WEEKDAY(B5,2)&gt;5</formula>
    </cfRule>
  </conditionalFormatting>
  <conditionalFormatting sqref="B7:H7">
    <cfRule type="expression" dxfId="508" priority="1">
      <formula>MONTH(B7)&lt;&gt;10</formula>
    </cfRule>
  </conditionalFormatting>
  <conditionalFormatting sqref="B7:H7">
    <cfRule type="expression" dxfId="509" priority="2">
      <formula>B7=TODAY()</formula>
    </cfRule>
  </conditionalFormatting>
  <conditionalFormatting sqref="B7:H7">
    <cfRule type="expression" dxfId="510" priority="3">
      <formula>N7=1</formula>
    </cfRule>
  </conditionalFormatting>
  <conditionalFormatting sqref="B7:H7">
    <cfRule type="expression" dxfId="511" priority="4">
      <formula>WEEKDAY(B7,2)&gt;5</formula>
    </cfRule>
  </conditionalFormatting>
  <conditionalFormatting sqref="B9:H9">
    <cfRule type="expression" dxfId="512" priority="1">
      <formula>MONTH(B9)&lt;&gt;10</formula>
    </cfRule>
  </conditionalFormatting>
  <conditionalFormatting sqref="B9:H9">
    <cfRule type="expression" dxfId="513" priority="2">
      <formula>B9=TODAY()</formula>
    </cfRule>
  </conditionalFormatting>
  <conditionalFormatting sqref="B9:H9">
    <cfRule type="expression" dxfId="514" priority="3">
      <formula>N9=1</formula>
    </cfRule>
  </conditionalFormatting>
  <conditionalFormatting sqref="B9:H9">
    <cfRule type="expression" dxfId="515" priority="4">
      <formula>WEEKDAY(B9,2)&gt;5</formula>
    </cfRule>
  </conditionalFormatting>
  <conditionalFormatting sqref="B11:H11">
    <cfRule type="expression" dxfId="516" priority="1">
      <formula>MONTH(B11)&lt;&gt;10</formula>
    </cfRule>
  </conditionalFormatting>
  <conditionalFormatting sqref="B11:H11">
    <cfRule type="expression" dxfId="517" priority="2">
      <formula>B11=TODAY()</formula>
    </cfRule>
  </conditionalFormatting>
  <conditionalFormatting sqref="B11:H11">
    <cfRule type="expression" dxfId="518" priority="3">
      <formula>N11=1</formula>
    </cfRule>
  </conditionalFormatting>
  <conditionalFormatting sqref="B11:H11">
    <cfRule type="expression" dxfId="519" priority="4">
      <formula>WEEKDAY(B11,2)&gt;5</formula>
    </cfRule>
  </conditionalFormatting>
  <conditionalFormatting sqref="B13:H13">
    <cfRule type="expression" dxfId="520" priority="1">
      <formula>MONTH(B13)&lt;&gt;10</formula>
    </cfRule>
  </conditionalFormatting>
  <conditionalFormatting sqref="B13:H13">
    <cfRule type="expression" dxfId="521" priority="2">
      <formula>B13=TODAY()</formula>
    </cfRule>
  </conditionalFormatting>
  <conditionalFormatting sqref="B13:H13">
    <cfRule type="expression" dxfId="522" priority="3">
      <formula>N13=1</formula>
    </cfRule>
  </conditionalFormatting>
  <conditionalFormatting sqref="B13:H13">
    <cfRule type="expression" dxfId="523" priority="4">
      <formula>WEEKDAY(B13,2)&gt;5</formula>
    </cfRule>
  </conditionalFormatting>
  <conditionalFormatting sqref="B15:H15">
    <cfRule type="expression" dxfId="524" priority="1">
      <formula>MONTH(B15)&lt;&gt;10</formula>
    </cfRule>
  </conditionalFormatting>
  <conditionalFormatting sqref="B15:H15">
    <cfRule type="expression" dxfId="525" priority="2">
      <formula>B15=TODAY()</formula>
    </cfRule>
  </conditionalFormatting>
  <conditionalFormatting sqref="B15:H15">
    <cfRule type="expression" dxfId="526" priority="3">
      <formula>N15=1</formula>
    </cfRule>
  </conditionalFormatting>
  <conditionalFormatting sqref="B15:H15">
    <cfRule type="expression" dxfId="527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INDEX(MonthNames,11)&amp;" "&amp;CalYear</f>
        <v>November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DATE(CalYear,11,1)-WEEKDAY(DATE(CalYear,11,1),WeekType)+1+0</f>
        <v>46692</v>
      </c>
      <c r="C5" s="21">
        <f>DATE(CalYear,11,1)-WEEKDAY(DATE(CalYear,11,1),WeekType)+1+1</f>
        <v>46693</v>
      </c>
      <c r="D5" s="21">
        <f>DATE(CalYear,11,1)-WEEKDAY(DATE(CalYear,11,1),WeekType)+1+2</f>
        <v>46694</v>
      </c>
      <c r="E5" s="21">
        <f>DATE(CalYear,11,1)-WEEKDAY(DATE(CalYear,11,1),WeekType)+1+3</f>
        <v>46695</v>
      </c>
      <c r="F5" s="21">
        <f>DATE(CalYear,11,1)-WEEKDAY(DATE(CalYear,11,1),WeekType)+1+4</f>
        <v>46696</v>
      </c>
      <c r="G5" s="21">
        <f>DATE(CalYear,11,1)-WEEKDAY(DATE(CalYear,11,1),WeekType)+1+5</f>
        <v>46697</v>
      </c>
      <c r="H5" s="21">
        <f>DATE(CalYear,11,1)-WEEKDAY(DATE(CalYear,11,1),WeekType)+1+6</f>
        <v>46698</v>
      </c>
      <c r="J5" s="22">
        <f>IFERROR(INDEX(HolDate,MATCH(1101,HolKey,0)),"")</f>
        <v>46702</v>
      </c>
      <c r="K5" s="23" t="str">
        <f>IFERROR(INDEX(HolName,MATCH(1101,HolKey,0)),"")</f>
        <v>Veterans Day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>
        <f>IFERROR(INDEX(HolDate,MATCH(1102,HolKey,0)),"")</f>
        <v>46716</v>
      </c>
      <c r="K6" s="23" t="str">
        <f>IFERROR(INDEX(HolName,MATCH(1102,HolKey,0)),"")</f>
        <v>Thanksgiving Day</v>
      </c>
    </row>
    <row r="7" ht="20" customHeight="1" spans="2:20" x14ac:dyDescent="0.25">
      <c r="B7" s="21">
        <f>DATE(CalYear,11,1)-WEEKDAY(DATE(CalYear,11,1),WeekType)+1+7</f>
        <v>46699</v>
      </c>
      <c r="C7" s="21">
        <f>DATE(CalYear,11,1)-WEEKDAY(DATE(CalYear,11,1),WeekType)+1+8</f>
        <v>46700</v>
      </c>
      <c r="D7" s="21">
        <f>DATE(CalYear,11,1)-WEEKDAY(DATE(CalYear,11,1),WeekType)+1+9</f>
        <v>46701</v>
      </c>
      <c r="E7" s="21">
        <f>DATE(CalYear,11,1)-WEEKDAY(DATE(CalYear,11,1),WeekType)+1+10</f>
        <v>46702</v>
      </c>
      <c r="F7" s="21">
        <f>DATE(CalYear,11,1)-WEEKDAY(DATE(CalYear,11,1),WeekType)+1+11</f>
        <v>46703</v>
      </c>
      <c r="G7" s="21">
        <f>DATE(CalYear,11,1)-WEEKDAY(DATE(CalYear,11,1),WeekType)+1+12</f>
        <v>46704</v>
      </c>
      <c r="H7" s="21">
        <f>DATE(CalYear,11,1)-WEEKDAY(DATE(CalYear,11,1),WeekType)+1+13</f>
        <v>46705</v>
      </c>
      <c r="J7" s="22" t="str">
        <f>IFERROR(INDEX(HolDate,MATCH(1103,HolKey,0)),"")</f>
        <v/>
      </c>
      <c r="K7" s="23" t="str">
        <f>IFERROR(INDEX(HolName,MATCH(1103,HolKey,0)),"")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1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IFERROR(INDEX(HolDate,MATCH(1104,HolKey,0)),"")</f>
        <v/>
      </c>
      <c r="K8" s="23" t="str">
        <f>IFERROR(INDEX(HolName,MATCH(1104,HolKey,0)),"")</f>
        <v/>
      </c>
    </row>
    <row r="9" ht="20" customHeight="1" spans="2:20" x14ac:dyDescent="0.25">
      <c r="B9" s="21">
        <f>DATE(CalYear,11,1)-WEEKDAY(DATE(CalYear,11,1),WeekType)+1+14</f>
        <v>46706</v>
      </c>
      <c r="C9" s="21">
        <f>DATE(CalYear,11,1)-WEEKDAY(DATE(CalYear,11,1),WeekType)+1+15</f>
        <v>46707</v>
      </c>
      <c r="D9" s="21">
        <f>DATE(CalYear,11,1)-WEEKDAY(DATE(CalYear,11,1),WeekType)+1+16</f>
        <v>46708</v>
      </c>
      <c r="E9" s="21">
        <f>DATE(CalYear,11,1)-WEEKDAY(DATE(CalYear,11,1),WeekType)+1+17</f>
        <v>46709</v>
      </c>
      <c r="F9" s="21">
        <f>DATE(CalYear,11,1)-WEEKDAY(DATE(CalYear,11,1),WeekType)+1+18</f>
        <v>46710</v>
      </c>
      <c r="G9" s="21">
        <f>DATE(CalYear,11,1)-WEEKDAY(DATE(CalYear,11,1),WeekType)+1+19</f>
        <v>46711</v>
      </c>
      <c r="H9" s="21">
        <f>DATE(CalYear,11,1)-WEEKDAY(DATE(CalYear,11,1),WeekType)+1+20</f>
        <v>46712</v>
      </c>
      <c r="J9" s="22" t="str">
        <f>IFERROR(INDEX(HolDate,MATCH(1105,HolKey,0)),"")</f>
        <v/>
      </c>
      <c r="K9" s="23" t="str">
        <f>IFERROR(INDEX(HolName,MATCH(1105,HolKey,0)),"")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IFERROR(INDEX(HolDate,MATCH(1106,HolKey,0)),"")</f>
        <v/>
      </c>
      <c r="K10" s="23" t="str">
        <f>IFERROR(INDEX(HolName,MATCH(1106,HolKey,0)),"")</f>
        <v/>
      </c>
    </row>
    <row r="11" ht="20" customHeight="1" spans="2:20" x14ac:dyDescent="0.25">
      <c r="B11" s="21">
        <f>DATE(CalYear,11,1)-WEEKDAY(DATE(CalYear,11,1),WeekType)+1+21</f>
        <v>46713</v>
      </c>
      <c r="C11" s="21">
        <f>DATE(CalYear,11,1)-WEEKDAY(DATE(CalYear,11,1),WeekType)+1+22</f>
        <v>46714</v>
      </c>
      <c r="D11" s="21">
        <f>DATE(CalYear,11,1)-WEEKDAY(DATE(CalYear,11,1),WeekType)+1+23</f>
        <v>46715</v>
      </c>
      <c r="E11" s="21">
        <f>DATE(CalYear,11,1)-WEEKDAY(DATE(CalYear,11,1),WeekType)+1+24</f>
        <v>46716</v>
      </c>
      <c r="F11" s="21">
        <f>DATE(CalYear,11,1)-WEEKDAY(DATE(CalYear,11,1),WeekType)+1+25</f>
        <v>46717</v>
      </c>
      <c r="G11" s="21">
        <f>DATE(CalYear,11,1)-WEEKDAY(DATE(CalYear,11,1),WeekType)+1+26</f>
        <v>46718</v>
      </c>
      <c r="H11" s="21">
        <f>DATE(CalYear,11,1)-WEEKDAY(DATE(CalYear,11,1),WeekType)+1+27</f>
        <v>46719</v>
      </c>
      <c r="J11" s="22" t="str">
        <f>IFERROR(INDEX(HolDate,MATCH(1107,HolKey,0)),"")</f>
        <v/>
      </c>
      <c r="K11" s="23" t="str">
        <f>IFERROR(INDEX(HolName,MATCH(1107,HolKey,0)),"")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1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IFERROR(INDEX(HolDate,MATCH(1108,HolKey,0)),"")</f>
        <v/>
      </c>
      <c r="K12" s="23" t="str">
        <f>IFERROR(INDEX(HolName,MATCH(1108,HolKey,0)),"")</f>
        <v/>
      </c>
    </row>
    <row r="13" ht="20" customHeight="1" spans="2:20" x14ac:dyDescent="0.25">
      <c r="B13" s="21">
        <f>DATE(CalYear,11,1)-WEEKDAY(DATE(CalYear,11,1),WeekType)+1+28</f>
        <v>46720</v>
      </c>
      <c r="C13" s="21">
        <f>DATE(CalYear,11,1)-WEEKDAY(DATE(CalYear,11,1),WeekType)+1+29</f>
        <v>46721</v>
      </c>
      <c r="D13" s="21">
        <f>DATE(CalYear,11,1)-WEEKDAY(DATE(CalYear,11,1),WeekType)+1+30</f>
        <v>46722</v>
      </c>
      <c r="E13" s="21">
        <f>DATE(CalYear,11,1)-WEEKDAY(DATE(CalYear,11,1),WeekType)+1+31</f>
        <v>46723</v>
      </c>
      <c r="F13" s="21">
        <f>DATE(CalYear,11,1)-WEEKDAY(DATE(CalYear,11,1),WeekType)+1+32</f>
        <v>46724</v>
      </c>
      <c r="G13" s="21">
        <f>DATE(CalYear,11,1)-WEEKDAY(DATE(CalYear,11,1),WeekType)+1+33</f>
        <v>46725</v>
      </c>
      <c r="H13" s="21">
        <f>DATE(CalYear,11,1)-WEEKDAY(DATE(CalYear,11,1),WeekType)+1+34</f>
        <v>46726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DATE(CalYear,11,1)-WEEKDAY(DATE(CalYear,11,1),WeekType)+1+35</f>
        <v>46727</v>
      </c>
      <c r="C15" s="21">
        <f>DATE(CalYear,11,1)-WEEKDAY(DATE(CalYear,11,1),WeekType)+1+36</f>
        <v>46728</v>
      </c>
      <c r="D15" s="21">
        <f>DATE(CalYear,11,1)-WEEKDAY(DATE(CalYear,11,1),WeekType)+1+37</f>
        <v>46729</v>
      </c>
      <c r="E15" s="21">
        <f>DATE(CalYear,11,1)-WEEKDAY(DATE(CalYear,11,1),WeekType)+1+38</f>
        <v>46730</v>
      </c>
      <c r="F15" s="21">
        <f>DATE(CalYear,11,1)-WEEKDAY(DATE(CalYear,11,1),WeekType)+1+39</f>
        <v>46731</v>
      </c>
      <c r="G15" s="21">
        <f>DATE(CalYear,11,1)-WEEKDAY(DATE(CalYear,11,1),WeekType)+1+40</f>
        <v>46732</v>
      </c>
      <c r="H15" s="21">
        <f>DATE(CalYear,11,1)-WEEKDAY(DATE(CalYear,11,1),WeekType)+1+41</f>
        <v>46733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28" priority="1">
      <formula>MONTH(B5)&lt;&gt;11</formula>
    </cfRule>
  </conditionalFormatting>
  <conditionalFormatting sqref="B5:H5">
    <cfRule type="expression" dxfId="529" priority="2">
      <formula>B5=TODAY()</formula>
    </cfRule>
  </conditionalFormatting>
  <conditionalFormatting sqref="B5:H5">
    <cfRule type="expression" dxfId="530" priority="3">
      <formula>N5=1</formula>
    </cfRule>
  </conditionalFormatting>
  <conditionalFormatting sqref="B5:H5">
    <cfRule type="expression" dxfId="531" priority="4">
      <formula>WEEKDAY(B5,2)&gt;5</formula>
    </cfRule>
  </conditionalFormatting>
  <conditionalFormatting sqref="B7:H7">
    <cfRule type="expression" dxfId="532" priority="1">
      <formula>MONTH(B7)&lt;&gt;11</formula>
    </cfRule>
  </conditionalFormatting>
  <conditionalFormatting sqref="B7:H7">
    <cfRule type="expression" dxfId="533" priority="2">
      <formula>B7=TODAY()</formula>
    </cfRule>
  </conditionalFormatting>
  <conditionalFormatting sqref="B7:H7">
    <cfRule type="expression" dxfId="534" priority="3">
      <formula>N7=1</formula>
    </cfRule>
  </conditionalFormatting>
  <conditionalFormatting sqref="B7:H7">
    <cfRule type="expression" dxfId="535" priority="4">
      <formula>WEEKDAY(B7,2)&gt;5</formula>
    </cfRule>
  </conditionalFormatting>
  <conditionalFormatting sqref="B9:H9">
    <cfRule type="expression" dxfId="536" priority="1">
      <formula>MONTH(B9)&lt;&gt;11</formula>
    </cfRule>
  </conditionalFormatting>
  <conditionalFormatting sqref="B9:H9">
    <cfRule type="expression" dxfId="537" priority="2">
      <formula>B9=TODAY()</formula>
    </cfRule>
  </conditionalFormatting>
  <conditionalFormatting sqref="B9:H9">
    <cfRule type="expression" dxfId="538" priority="3">
      <formula>N9=1</formula>
    </cfRule>
  </conditionalFormatting>
  <conditionalFormatting sqref="B9:H9">
    <cfRule type="expression" dxfId="539" priority="4">
      <formula>WEEKDAY(B9,2)&gt;5</formula>
    </cfRule>
  </conditionalFormatting>
  <conditionalFormatting sqref="B11:H11">
    <cfRule type="expression" dxfId="540" priority="1">
      <formula>MONTH(B11)&lt;&gt;11</formula>
    </cfRule>
  </conditionalFormatting>
  <conditionalFormatting sqref="B11:H11">
    <cfRule type="expression" dxfId="541" priority="2">
      <formula>B11=TODAY()</formula>
    </cfRule>
  </conditionalFormatting>
  <conditionalFormatting sqref="B11:H11">
    <cfRule type="expression" dxfId="542" priority="3">
      <formula>N11=1</formula>
    </cfRule>
  </conditionalFormatting>
  <conditionalFormatting sqref="B11:H11">
    <cfRule type="expression" dxfId="543" priority="4">
      <formula>WEEKDAY(B11,2)&gt;5</formula>
    </cfRule>
  </conditionalFormatting>
  <conditionalFormatting sqref="B13:H13">
    <cfRule type="expression" dxfId="544" priority="1">
      <formula>MONTH(B13)&lt;&gt;11</formula>
    </cfRule>
  </conditionalFormatting>
  <conditionalFormatting sqref="B13:H13">
    <cfRule type="expression" dxfId="545" priority="2">
      <formula>B13=TODAY()</formula>
    </cfRule>
  </conditionalFormatting>
  <conditionalFormatting sqref="B13:H13">
    <cfRule type="expression" dxfId="546" priority="3">
      <formula>N13=1</formula>
    </cfRule>
  </conditionalFormatting>
  <conditionalFormatting sqref="B13:H13">
    <cfRule type="expression" dxfId="547" priority="4">
      <formula>WEEKDAY(B13,2)&gt;5</formula>
    </cfRule>
  </conditionalFormatting>
  <conditionalFormatting sqref="B15:H15">
    <cfRule type="expression" dxfId="548" priority="1">
      <formula>MONTH(B15)&lt;&gt;11</formula>
    </cfRule>
  </conditionalFormatting>
  <conditionalFormatting sqref="B15:H15">
    <cfRule type="expression" dxfId="549" priority="2">
      <formula>B15=TODAY()</formula>
    </cfRule>
  </conditionalFormatting>
  <conditionalFormatting sqref="B15:H15">
    <cfRule type="expression" dxfId="550" priority="3">
      <formula>N15=1</formula>
    </cfRule>
  </conditionalFormatting>
  <conditionalFormatting sqref="B15:H15">
    <cfRule type="expression" dxfId="55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INDEX(MonthNames,12)&amp;" "&amp;CalYear</f>
        <v>December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Mon</v>
      </c>
      <c r="C4" s="19" t="str">
        <f>INDEX(DayShort,MOD(1+IF(WeekType=2,0,6),7)+1)</f>
        <v>Tue</v>
      </c>
      <c r="D4" s="19" t="str">
        <f>INDEX(DayShort,MOD(2+IF(WeekType=2,0,6),7)+1)</f>
        <v>Wed</v>
      </c>
      <c r="E4" s="19" t="str">
        <f>INDEX(DayShort,MOD(3+IF(WeekType=2,0,6),7)+1)</f>
        <v>Thu</v>
      </c>
      <c r="F4" s="19" t="str">
        <f>INDEX(DayShort,MOD(4+IF(WeekType=2,0,6),7)+1)</f>
        <v>Fri</v>
      </c>
      <c r="G4" s="19" t="str">
        <f>INDEX(DayShort,MOD(5+IF(WeekType=2,0,6),7)+1)</f>
        <v>Sat</v>
      </c>
      <c r="H4" s="19" t="str">
        <f>INDEX(DayShort,MOD(6+IF(WeekType=2,0,6),7)+1)</f>
        <v>Sun</v>
      </c>
      <c r="J4" s="20" t="s">
        <v>23</v>
      </c>
      <c r="K4" s="20"/>
    </row>
    <row r="5" ht="20" customHeight="1" spans="2:20" x14ac:dyDescent="0.25">
      <c r="B5" s="21">
        <f>DATE(CalYear,12,1)-WEEKDAY(DATE(CalYear,12,1),WeekType)+1+0</f>
        <v>46720</v>
      </c>
      <c r="C5" s="21">
        <f>DATE(CalYear,12,1)-WEEKDAY(DATE(CalYear,12,1),WeekType)+1+1</f>
        <v>46721</v>
      </c>
      <c r="D5" s="21">
        <f>DATE(CalYear,12,1)-WEEKDAY(DATE(CalYear,12,1),WeekType)+1+2</f>
        <v>46722</v>
      </c>
      <c r="E5" s="21">
        <f>DATE(CalYear,12,1)-WEEKDAY(DATE(CalYear,12,1),WeekType)+1+3</f>
        <v>46723</v>
      </c>
      <c r="F5" s="21">
        <f>DATE(CalYear,12,1)-WEEKDAY(DATE(CalYear,12,1),WeekType)+1+4</f>
        <v>46724</v>
      </c>
      <c r="G5" s="21">
        <f>DATE(CalYear,12,1)-WEEKDAY(DATE(CalYear,12,1),WeekType)+1+5</f>
        <v>46725</v>
      </c>
      <c r="H5" s="21">
        <f>DATE(CalYear,12,1)-WEEKDAY(DATE(CalYear,12,1),WeekType)+1+6</f>
        <v>46726</v>
      </c>
      <c r="J5" s="22">
        <f>IFERROR(INDEX(HolDate,MATCH(1201,HolKey,0)),"")</f>
        <v>46745</v>
      </c>
      <c r="K5" s="23" t="str">
        <f>IFERROR(INDEX(HolName,MATCH(1201,HolKey,0)),"")</f>
        <v>Christmas Day (substitute day)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>
        <f>IFERROR(INDEX(HolDate,MATCH(1202,HolKey,0)),"")</f>
        <v>46746</v>
      </c>
      <c r="K6" s="23" t="str">
        <f>IFERROR(INDEX(HolName,MATCH(1202,HolKey,0)),"")</f>
        <v>Christmas Day</v>
      </c>
    </row>
    <row r="7" ht="20" customHeight="1" spans="2:20" x14ac:dyDescent="0.25">
      <c r="B7" s="21">
        <f>DATE(CalYear,12,1)-WEEKDAY(DATE(CalYear,12,1),WeekType)+1+7</f>
        <v>46727</v>
      </c>
      <c r="C7" s="21">
        <f>DATE(CalYear,12,1)-WEEKDAY(DATE(CalYear,12,1),WeekType)+1+8</f>
        <v>46728</v>
      </c>
      <c r="D7" s="21">
        <f>DATE(CalYear,12,1)-WEEKDAY(DATE(CalYear,12,1),WeekType)+1+9</f>
        <v>46729</v>
      </c>
      <c r="E7" s="21">
        <f>DATE(CalYear,12,1)-WEEKDAY(DATE(CalYear,12,1),WeekType)+1+10</f>
        <v>46730</v>
      </c>
      <c r="F7" s="21">
        <f>DATE(CalYear,12,1)-WEEKDAY(DATE(CalYear,12,1),WeekType)+1+11</f>
        <v>46731</v>
      </c>
      <c r="G7" s="21">
        <f>DATE(CalYear,12,1)-WEEKDAY(DATE(CalYear,12,1),WeekType)+1+12</f>
        <v>46732</v>
      </c>
      <c r="H7" s="21">
        <f>DATE(CalYear,12,1)-WEEKDAY(DATE(CalYear,12,1),WeekType)+1+13</f>
        <v>46733</v>
      </c>
      <c r="J7" s="22">
        <f>IFERROR(INDEX(HolDate,MATCH(1203,HolKey,0)),"")</f>
        <v>46752</v>
      </c>
      <c r="K7" s="23" t="str">
        <f>IFERROR(INDEX(HolName,MATCH(1203,HolKey,0)),"")</f>
        <v>New Year's Day (substitute day)</v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IFERROR(INDEX(HolDate,MATCH(1204,HolKey,0)),"")</f>
        <v/>
      </c>
      <c r="K8" s="23" t="str">
        <f>IFERROR(INDEX(HolName,MATCH(1204,HolKey,0)),"")</f>
        <v/>
      </c>
    </row>
    <row r="9" ht="20" customHeight="1" spans="2:20" x14ac:dyDescent="0.25">
      <c r="B9" s="21">
        <f>DATE(CalYear,12,1)-WEEKDAY(DATE(CalYear,12,1),WeekType)+1+14</f>
        <v>46734</v>
      </c>
      <c r="C9" s="21">
        <f>DATE(CalYear,12,1)-WEEKDAY(DATE(CalYear,12,1),WeekType)+1+15</f>
        <v>46735</v>
      </c>
      <c r="D9" s="21">
        <f>DATE(CalYear,12,1)-WEEKDAY(DATE(CalYear,12,1),WeekType)+1+16</f>
        <v>46736</v>
      </c>
      <c r="E9" s="21">
        <f>DATE(CalYear,12,1)-WEEKDAY(DATE(CalYear,12,1),WeekType)+1+17</f>
        <v>46737</v>
      </c>
      <c r="F9" s="21">
        <f>DATE(CalYear,12,1)-WEEKDAY(DATE(CalYear,12,1),WeekType)+1+18</f>
        <v>46738</v>
      </c>
      <c r="G9" s="21">
        <f>DATE(CalYear,12,1)-WEEKDAY(DATE(CalYear,12,1),WeekType)+1+19</f>
        <v>46739</v>
      </c>
      <c r="H9" s="21">
        <f>DATE(CalYear,12,1)-WEEKDAY(DATE(CalYear,12,1),WeekType)+1+20</f>
        <v>46740</v>
      </c>
      <c r="J9" s="22" t="str">
        <f>IFERROR(INDEX(HolDate,MATCH(1205,HolKey,0)),"")</f>
        <v/>
      </c>
      <c r="K9" s="23" t="str">
        <f>IFERROR(INDEX(HolName,MATCH(1205,HolKey,0)),"")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IFERROR(INDEX(HolDate,MATCH(1206,HolKey,0)),"")</f>
        <v/>
      </c>
      <c r="K10" s="23" t="str">
        <f>IFERROR(INDEX(HolName,MATCH(1206,HolKey,0)),"")</f>
        <v/>
      </c>
    </row>
    <row r="11" ht="20" customHeight="1" spans="2:20" x14ac:dyDescent="0.25">
      <c r="B11" s="21">
        <f>DATE(CalYear,12,1)-WEEKDAY(DATE(CalYear,12,1),WeekType)+1+21</f>
        <v>46741</v>
      </c>
      <c r="C11" s="21">
        <f>DATE(CalYear,12,1)-WEEKDAY(DATE(CalYear,12,1),WeekType)+1+22</f>
        <v>46742</v>
      </c>
      <c r="D11" s="21">
        <f>DATE(CalYear,12,1)-WEEKDAY(DATE(CalYear,12,1),WeekType)+1+23</f>
        <v>46743</v>
      </c>
      <c r="E11" s="21">
        <f>DATE(CalYear,12,1)-WEEKDAY(DATE(CalYear,12,1),WeekType)+1+24</f>
        <v>46744</v>
      </c>
      <c r="F11" s="21">
        <f>DATE(CalYear,12,1)-WEEKDAY(DATE(CalYear,12,1),WeekType)+1+25</f>
        <v>46745</v>
      </c>
      <c r="G11" s="21">
        <f>DATE(CalYear,12,1)-WEEKDAY(DATE(CalYear,12,1),WeekType)+1+26</f>
        <v>46746</v>
      </c>
      <c r="H11" s="21">
        <f>DATE(CalYear,12,1)-WEEKDAY(DATE(CalYear,12,1),WeekType)+1+27</f>
        <v>46747</v>
      </c>
      <c r="J11" s="22" t="str">
        <f>IFERROR(INDEX(HolDate,MATCH(1207,HolKey,0)),"")</f>
        <v/>
      </c>
      <c r="K11" s="23" t="str">
        <f>IFERROR(INDEX(HolName,MATCH(1207,HolKey,0)),"")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1</v>
      </c>
      <c r="S11">
        <f>IF(COUNTIF(HolShownDate,G11)&gt;0,1,0)</f>
        <v>1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IFERROR(INDEX(HolDate,MATCH(1208,HolKey,0)),"")</f>
        <v/>
      </c>
      <c r="K12" s="23" t="str">
        <f>IFERROR(INDEX(HolName,MATCH(1208,HolKey,0)),"")</f>
        <v/>
      </c>
    </row>
    <row r="13" ht="20" customHeight="1" spans="2:20" x14ac:dyDescent="0.25">
      <c r="B13" s="21">
        <f>DATE(CalYear,12,1)-WEEKDAY(DATE(CalYear,12,1),WeekType)+1+28</f>
        <v>46748</v>
      </c>
      <c r="C13" s="21">
        <f>DATE(CalYear,12,1)-WEEKDAY(DATE(CalYear,12,1),WeekType)+1+29</f>
        <v>46749</v>
      </c>
      <c r="D13" s="21">
        <f>DATE(CalYear,12,1)-WEEKDAY(DATE(CalYear,12,1),WeekType)+1+30</f>
        <v>46750</v>
      </c>
      <c r="E13" s="21">
        <f>DATE(CalYear,12,1)-WEEKDAY(DATE(CalYear,12,1),WeekType)+1+31</f>
        <v>46751</v>
      </c>
      <c r="F13" s="21">
        <f>DATE(CalYear,12,1)-WEEKDAY(DATE(CalYear,12,1),WeekType)+1+32</f>
        <v>46752</v>
      </c>
      <c r="G13" s="21">
        <f>DATE(CalYear,12,1)-WEEKDAY(DATE(CalYear,12,1),WeekType)+1+33</f>
        <v>46753</v>
      </c>
      <c r="H13" s="21">
        <f>DATE(CalYear,12,1)-WEEKDAY(DATE(CalYear,12,1),WeekType)+1+34</f>
        <v>46754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1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DATE(CalYear,12,1)-WEEKDAY(DATE(CalYear,12,1),WeekType)+1+35</f>
        <v>46755</v>
      </c>
      <c r="C15" s="21">
        <f>DATE(CalYear,12,1)-WEEKDAY(DATE(CalYear,12,1),WeekType)+1+36</f>
        <v>46756</v>
      </c>
      <c r="D15" s="21">
        <f>DATE(CalYear,12,1)-WEEKDAY(DATE(CalYear,12,1),WeekType)+1+37</f>
        <v>46757</v>
      </c>
      <c r="E15" s="21">
        <f>DATE(CalYear,12,1)-WEEKDAY(DATE(CalYear,12,1),WeekType)+1+38</f>
        <v>46758</v>
      </c>
      <c r="F15" s="21">
        <f>DATE(CalYear,12,1)-WEEKDAY(DATE(CalYear,12,1),WeekType)+1+39</f>
        <v>46759</v>
      </c>
      <c r="G15" s="21">
        <f>DATE(CalYear,12,1)-WEEKDAY(DATE(CalYear,12,1),WeekType)+1+40</f>
        <v>46760</v>
      </c>
      <c r="H15" s="21">
        <f>DATE(CalYear,12,1)-WEEKDAY(DATE(CalYear,12,1),WeekType)+1+41</f>
        <v>46761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52" priority="1">
      <formula>MONTH(B5)&lt;&gt;12</formula>
    </cfRule>
  </conditionalFormatting>
  <conditionalFormatting sqref="B5:H5">
    <cfRule type="expression" dxfId="553" priority="2">
      <formula>B5=TODAY()</formula>
    </cfRule>
  </conditionalFormatting>
  <conditionalFormatting sqref="B5:H5">
    <cfRule type="expression" dxfId="554" priority="3">
      <formula>N5=1</formula>
    </cfRule>
  </conditionalFormatting>
  <conditionalFormatting sqref="B5:H5">
    <cfRule type="expression" dxfId="555" priority="4">
      <formula>WEEKDAY(B5,2)&gt;5</formula>
    </cfRule>
  </conditionalFormatting>
  <conditionalFormatting sqref="B7:H7">
    <cfRule type="expression" dxfId="556" priority="1">
      <formula>MONTH(B7)&lt;&gt;12</formula>
    </cfRule>
  </conditionalFormatting>
  <conditionalFormatting sqref="B7:H7">
    <cfRule type="expression" dxfId="557" priority="2">
      <formula>B7=TODAY()</formula>
    </cfRule>
  </conditionalFormatting>
  <conditionalFormatting sqref="B7:H7">
    <cfRule type="expression" dxfId="558" priority="3">
      <formula>N7=1</formula>
    </cfRule>
  </conditionalFormatting>
  <conditionalFormatting sqref="B7:H7">
    <cfRule type="expression" dxfId="559" priority="4">
      <formula>WEEKDAY(B7,2)&gt;5</formula>
    </cfRule>
  </conditionalFormatting>
  <conditionalFormatting sqref="B9:H9">
    <cfRule type="expression" dxfId="560" priority="1">
      <formula>MONTH(B9)&lt;&gt;12</formula>
    </cfRule>
  </conditionalFormatting>
  <conditionalFormatting sqref="B9:H9">
    <cfRule type="expression" dxfId="561" priority="2">
      <formula>B9=TODAY()</formula>
    </cfRule>
  </conditionalFormatting>
  <conditionalFormatting sqref="B9:H9">
    <cfRule type="expression" dxfId="562" priority="3">
      <formula>N9=1</formula>
    </cfRule>
  </conditionalFormatting>
  <conditionalFormatting sqref="B9:H9">
    <cfRule type="expression" dxfId="563" priority="4">
      <formula>WEEKDAY(B9,2)&gt;5</formula>
    </cfRule>
  </conditionalFormatting>
  <conditionalFormatting sqref="B11:H11">
    <cfRule type="expression" dxfId="564" priority="1">
      <formula>MONTH(B11)&lt;&gt;12</formula>
    </cfRule>
  </conditionalFormatting>
  <conditionalFormatting sqref="B11:H11">
    <cfRule type="expression" dxfId="565" priority="2">
      <formula>B11=TODAY()</formula>
    </cfRule>
  </conditionalFormatting>
  <conditionalFormatting sqref="B11:H11">
    <cfRule type="expression" dxfId="566" priority="3">
      <formula>N11=1</formula>
    </cfRule>
  </conditionalFormatting>
  <conditionalFormatting sqref="B11:H11">
    <cfRule type="expression" dxfId="567" priority="4">
      <formula>WEEKDAY(B11,2)&gt;5</formula>
    </cfRule>
  </conditionalFormatting>
  <conditionalFormatting sqref="B13:H13">
    <cfRule type="expression" dxfId="568" priority="1">
      <formula>MONTH(B13)&lt;&gt;12</formula>
    </cfRule>
  </conditionalFormatting>
  <conditionalFormatting sqref="B13:H13">
    <cfRule type="expression" dxfId="569" priority="2">
      <formula>B13=TODAY()</formula>
    </cfRule>
  </conditionalFormatting>
  <conditionalFormatting sqref="B13:H13">
    <cfRule type="expression" dxfId="570" priority="3">
      <formula>N13=1</formula>
    </cfRule>
  </conditionalFormatting>
  <conditionalFormatting sqref="B13:H13">
    <cfRule type="expression" dxfId="571" priority="4">
      <formula>WEEKDAY(B13,2)&gt;5</formula>
    </cfRule>
  </conditionalFormatting>
  <conditionalFormatting sqref="B15:H15">
    <cfRule type="expression" dxfId="572" priority="1">
      <formula>MONTH(B15)&lt;&gt;12</formula>
    </cfRule>
  </conditionalFormatting>
  <conditionalFormatting sqref="B15:H15">
    <cfRule type="expression" dxfId="573" priority="2">
      <formula>B15=TODAY()</formula>
    </cfRule>
  </conditionalFormatting>
  <conditionalFormatting sqref="B15:H15">
    <cfRule type="expression" dxfId="574" priority="3">
      <formula>N15=1</formula>
    </cfRule>
  </conditionalFormatting>
  <conditionalFormatting sqref="B15:H15">
    <cfRule type="expression" dxfId="57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1" orientation="landscape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2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16" customWidth="1"/>
    <col min="3" max="3" width="12" customWidth="1"/>
    <col min="4" max="8" width="18" customWidth="1"/>
  </cols>
  <sheetData>
    <row r="2" spans="2:8" x14ac:dyDescent="0.25">
      <c r="B2" s="27" t="s">
        <v>25</v>
      </c>
      <c r="H2" s="11" t="s">
        <v>1</v>
      </c>
    </row>
    <row r="4" ht="24" customHeight="1" spans="2:8" x14ac:dyDescent="0.25">
      <c r="B4" s="28" t="s">
        <v>25</v>
      </c>
      <c r="D4" s="29">
        <v>1</v>
      </c>
      <c r="E4" s="30" t="s">
        <v>26</v>
      </c>
      <c r="F4" s="31">
        <f>FirstWeekStart+(WeekNum-1)*7</f>
        <v>46384</v>
      </c>
      <c r="G4" s="31"/>
      <c r="H4" s="31"/>
    </row>
    <row r="6" ht="70" customHeight="1" spans="2:8" x14ac:dyDescent="0.25">
      <c r="B6" s="32" t="str">
        <f>INDEX(DayLong,MOD(0+IF(WeekType=2,0,6),7)+1)</f>
        <v>Monday</v>
      </c>
      <c r="C6" s="33">
        <f>$F$4+0</f>
        <v>46384</v>
      </c>
      <c r="D6" s="34" t="str">
        <f>IFERROR("★ Holiday: "&amp;INDEX(HolName,MATCH(C6,HolShownDate,0)),"")</f>
        <v/>
      </c>
      <c r="E6" s="34"/>
      <c r="F6" s="34"/>
      <c r="G6" s="34"/>
      <c r="H6" s="34"/>
    </row>
    <row r="7" ht="70" customHeight="1" spans="2:8" x14ac:dyDescent="0.25">
      <c r="B7" s="32" t="str">
        <f>INDEX(DayLong,MOD(1+IF(WeekType=2,0,6),7)+1)</f>
        <v>Tuesday</v>
      </c>
      <c r="C7" s="33">
        <f>$F$4+1</f>
        <v>46385</v>
      </c>
      <c r="D7" s="34" t="str">
        <f>IFERROR("★ Holiday: "&amp;INDEX(HolName,MATCH(C7,HolShownDate,0)),"")</f>
        <v/>
      </c>
      <c r="E7" s="34"/>
      <c r="F7" s="34"/>
      <c r="G7" s="34"/>
      <c r="H7" s="34"/>
    </row>
    <row r="8" ht="70" customHeight="1" spans="2:8" x14ac:dyDescent="0.25">
      <c r="B8" s="32" t="str">
        <f>INDEX(DayLong,MOD(2+IF(WeekType=2,0,6),7)+1)</f>
        <v>Wednesday</v>
      </c>
      <c r="C8" s="33">
        <f>$F$4+2</f>
        <v>46386</v>
      </c>
      <c r="D8" s="34" t="str">
        <f>IFERROR("★ Holiday: "&amp;INDEX(HolName,MATCH(C8,HolShownDate,0)),"")</f>
        <v/>
      </c>
      <c r="E8" s="34"/>
      <c r="F8" s="34"/>
      <c r="G8" s="34"/>
      <c r="H8" s="34"/>
    </row>
    <row r="9" ht="70" customHeight="1" spans="2:8" x14ac:dyDescent="0.25">
      <c r="B9" s="32" t="str">
        <f>INDEX(DayLong,MOD(3+IF(WeekType=2,0,6),7)+1)</f>
        <v>Thursday</v>
      </c>
      <c r="C9" s="33">
        <f>$F$4+3</f>
        <v>46387</v>
      </c>
      <c r="D9" s="34" t="str">
        <f>IFERROR("★ Holiday: "&amp;INDEX(HolName,MATCH(C9,HolShownDate,0)),"")</f>
        <v/>
      </c>
      <c r="E9" s="34"/>
      <c r="F9" s="34"/>
      <c r="G9" s="34"/>
      <c r="H9" s="34"/>
    </row>
    <row r="10" ht="70" customHeight="1" spans="2:8" x14ac:dyDescent="0.25">
      <c r="B10" s="32" t="str">
        <f>INDEX(DayLong,MOD(4+IF(WeekType=2,0,6),7)+1)</f>
        <v>Friday</v>
      </c>
      <c r="C10" s="33">
        <f>$F$4+4</f>
        <v>46388</v>
      </c>
      <c r="D10" s="34" t="str">
        <f>IFERROR("★ Holiday: "&amp;INDEX(HolName,MATCH(C10,HolShownDate,0)),"")</f>
        <v>★ Holiday: New Year's Day</v>
      </c>
      <c r="E10" s="34"/>
      <c r="F10" s="34"/>
      <c r="G10" s="34"/>
      <c r="H10" s="34"/>
    </row>
    <row r="11" ht="70" customHeight="1" spans="2:8" x14ac:dyDescent="0.25">
      <c r="B11" s="32" t="str">
        <f>INDEX(DayLong,MOD(5+IF(WeekType=2,0,6),7)+1)</f>
        <v>Saturday</v>
      </c>
      <c r="C11" s="33">
        <f>$F$4+5</f>
        <v>46389</v>
      </c>
      <c r="D11" s="34" t="str">
        <f>IFERROR("★ Holiday: "&amp;INDEX(HolName,MATCH(C11,HolShownDate,0)),"")</f>
        <v/>
      </c>
      <c r="E11" s="34"/>
      <c r="F11" s="34"/>
      <c r="G11" s="34"/>
      <c r="H11" s="34"/>
    </row>
    <row r="12" ht="70" customHeight="1" spans="2:8" x14ac:dyDescent="0.25">
      <c r="B12" s="32" t="str">
        <f>INDEX(DayLong,MOD(6+IF(WeekType=2,0,6),7)+1)</f>
        <v>Sunday</v>
      </c>
      <c r="C12" s="33">
        <f>$F$4+6</f>
        <v>46390</v>
      </c>
      <c r="D12" s="34" t="str">
        <f>IFERROR("★ Holiday: "&amp;INDEX(HolName,MATCH(C12,HolShownDate,0)),"")</f>
        <v/>
      </c>
      <c r="E12" s="34"/>
      <c r="F12" s="34"/>
      <c r="G12" s="34"/>
      <c r="H12" s="34"/>
    </row>
  </sheetData>
  <mergeCells count="8">
    <mergeCell ref="F4:H4"/>
    <mergeCell ref="D6:H6"/>
    <mergeCell ref="D7:H7"/>
    <mergeCell ref="D8:H8"/>
    <mergeCell ref="D9:H9"/>
    <mergeCell ref="D10:H10"/>
    <mergeCell ref="D11:H11"/>
    <mergeCell ref="D12:H12"/>
  </mergeCells>
  <conditionalFormatting sqref="B6:H12">
    <cfRule type="expression" dxfId="576" priority="1">
      <formula>$C6=TODAY()</formula>
    </cfRule>
  </conditionalFormatting>
  <dataValidations count="1">
    <dataValidation type="whole" showInputMessage="1" prompt="Choose a week number (1–53)" sqref="D4">
      <formula1>1</formula1>
      <formula2>53</formula2>
    </dataValidation>
  </dataValidations>
  <hyperlinks>
    <hyperlink ref="H2" r:id="rId1"/>
  </hyperlinks>
  <pageMargins left="0.4" right="0.4" top="0.4" bottom="0.4" header="0.2" footer="0.2"/>
  <pageSetup paperSize="1" orientation="portrait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4"/>
  <sheetViews>
    <sheetView workbookViewId="0" showGridLines="0">
      <pane ySplit="4" topLeftCell="A5" activePane="bottomLeft" state="frozen"/>
      <selection pane="bottomLeft"/>
    </sheetView>
  </sheetViews>
  <sheetFormatPr defaultRowHeight="16" outlineLevelRow="0" outlineLevelCol="0" x14ac:dyDescent="55" customHeight="1"/>
  <cols>
    <col min="1" max="1" width="3" customWidth="1"/>
    <col min="2" max="2" width="10" customWidth="1"/>
    <col min="3" max="3" width="16" customWidth="1"/>
    <col min="4" max="4" width="46" customWidth="1"/>
    <col min="5" max="5" width="9" hidden="1" customWidth="1"/>
    <col min="6" max="6" width="9" hidden="1" customWidth="1"/>
    <col min="7" max="7" width="9" hidden="1" customWidth="1"/>
    <col min="8" max="8" width="9" hidden="1" customWidth="1"/>
  </cols>
  <sheetData>
    <row r="2" spans="2:2" x14ac:dyDescent="0.25">
      <c r="B2" s="35" t="s">
        <v>23</v>
      </c>
    </row>
    <row r="3" spans="2:2" x14ac:dyDescent="0.25">
      <c r="B3" s="4" t="s">
        <v>27</v>
      </c>
    </row>
    <row r="4" spans="2:4" x14ac:dyDescent="0.25">
      <c r="B4" s="36" t="s">
        <v>28</v>
      </c>
      <c r="C4" s="36" t="s">
        <v>29</v>
      </c>
      <c r="D4" s="36" t="s">
        <v>21</v>
      </c>
    </row>
    <row r="5" spans="2:8" x14ac:dyDescent="0.25">
      <c r="B5" s="37" t="s">
        <v>30</v>
      </c>
      <c r="C5" s="38">
        <v>46388</v>
      </c>
      <c r="D5" s="37" t="s">
        <v>31</v>
      </c>
      <c r="E5">
        <f>IF(C5="","",MONTH(C5))</f>
        <v>1</v>
      </c>
      <c r="F5">
        <f>IF(AND(C5&lt;&gt;"",YEAR(C5)=CalYear,OR(B5=CountryCode,B5="MY")),1,0)</f>
        <v>0</v>
      </c>
      <c r="G5" t="str">
        <f>IF(F5=1,E5*100+COUNTIFS($E$5:E5,E5,$F$5:F5,1),"")</f>
        <v/>
      </c>
      <c r="H5" t="str">
        <f>IF(F5=1,C5,"")</f>
        <v/>
      </c>
    </row>
    <row r="6" spans="2:8" x14ac:dyDescent="0.25">
      <c r="B6" s="37" t="s">
        <v>30</v>
      </c>
      <c r="C6" s="38">
        <v>46426</v>
      </c>
      <c r="D6" s="37" t="s">
        <v>32</v>
      </c>
      <c r="E6">
        <f>IF(C6="","",MONTH(C6))</f>
        <v>2</v>
      </c>
      <c r="F6">
        <f>IF(AND(C6&lt;&gt;"",YEAR(C6)=CalYear,OR(B6=CountryCode,B6="MY")),1,0)</f>
        <v>0</v>
      </c>
      <c r="G6" t="str">
        <f>IF(F6=1,E6*100+COUNTIFS($E$5:E6,E6,$F$5:F6,1),"")</f>
        <v/>
      </c>
      <c r="H6" t="str">
        <f>IF(F6=1,C6,"")</f>
        <v/>
      </c>
    </row>
    <row r="7" spans="2:8" x14ac:dyDescent="0.25">
      <c r="B7" s="37" t="s">
        <v>30</v>
      </c>
      <c r="C7" s="38">
        <v>46427</v>
      </c>
      <c r="D7" s="37" t="s">
        <v>33</v>
      </c>
      <c r="E7">
        <f>IF(C7="","",MONTH(C7))</f>
        <v>2</v>
      </c>
      <c r="F7">
        <f>IF(AND(C7&lt;&gt;"",YEAR(C7)=CalYear,OR(B7=CountryCode,B7="MY")),1,0)</f>
        <v>0</v>
      </c>
      <c r="G7" t="str">
        <f>IF(F7=1,E7*100+COUNTIFS($E$5:E7,E7,$F$5:F7,1),"")</f>
        <v/>
      </c>
      <c r="H7" t="str">
        <f>IF(F7=1,C7,"")</f>
        <v/>
      </c>
    </row>
    <row r="8" spans="2:8" x14ac:dyDescent="0.25">
      <c r="B8" s="37" t="s">
        <v>30</v>
      </c>
      <c r="C8" s="38">
        <v>46470</v>
      </c>
      <c r="D8" s="37" t="s">
        <v>34</v>
      </c>
      <c r="E8">
        <f>IF(C8="","",MONTH(C8))</f>
        <v>3</v>
      </c>
      <c r="F8">
        <f>IF(AND(C8&lt;&gt;"",YEAR(C8)=CalYear,OR(B8=CountryCode,B8="MY")),1,0)</f>
        <v>0</v>
      </c>
      <c r="G8" t="str">
        <f>IF(F8=1,E8*100+COUNTIFS($E$5:E8,E8,$F$5:F8,1),"")</f>
        <v/>
      </c>
      <c r="H8" t="str">
        <f>IF(F8=1,C8,"")</f>
        <v/>
      </c>
    </row>
    <row r="9" spans="2:8" x14ac:dyDescent="0.25">
      <c r="B9" s="37" t="s">
        <v>30</v>
      </c>
      <c r="C9" s="38">
        <v>46472</v>
      </c>
      <c r="D9" s="37" t="s">
        <v>35</v>
      </c>
      <c r="E9">
        <f>IF(C9="","",MONTH(C9))</f>
        <v>3</v>
      </c>
      <c r="F9">
        <f>IF(AND(C9&lt;&gt;"",YEAR(C9)=CalYear,OR(B9=CountryCode,B9="MY")),1,0)</f>
        <v>0</v>
      </c>
      <c r="G9" t="str">
        <f>IF(F9=1,E9*100+COUNTIFS($E$5:E9,E9,$F$5:F9,1),"")</f>
        <v/>
      </c>
      <c r="H9" t="str">
        <f>IF(F9=1,C9,"")</f>
        <v/>
      </c>
    </row>
    <row r="10" spans="2:8" x14ac:dyDescent="0.25">
      <c r="B10" s="37" t="s">
        <v>30</v>
      </c>
      <c r="C10" s="38">
        <v>46479</v>
      </c>
      <c r="D10" s="37" t="s">
        <v>36</v>
      </c>
      <c r="E10">
        <f>IF(C10="","",MONTH(C10))</f>
        <v>4</v>
      </c>
      <c r="F10">
        <f>IF(AND(C10&lt;&gt;"",YEAR(C10)=CalYear,OR(B10=CountryCode,B10="MY")),1,0)</f>
        <v>0</v>
      </c>
      <c r="G10" t="str">
        <f>IF(F10=1,E10*100+COUNTIFS($E$5:E10,E10,$F$5:F10,1),"")</f>
        <v/>
      </c>
      <c r="H10" t="str">
        <f>IF(F10=1,C10,"")</f>
        <v/>
      </c>
    </row>
    <row r="11" spans="2:8" x14ac:dyDescent="0.25">
      <c r="B11" s="37" t="s">
        <v>30</v>
      </c>
      <c r="C11" s="38">
        <v>46508</v>
      </c>
      <c r="D11" s="37" t="s">
        <v>37</v>
      </c>
      <c r="E11">
        <f>IF(C11="","",MONTH(C11))</f>
        <v>5</v>
      </c>
      <c r="F11">
        <f>IF(AND(C11&lt;&gt;"",YEAR(C11)=CalYear,OR(B11=CountryCode,B11="MY")),1,0)</f>
        <v>0</v>
      </c>
      <c r="G11" t="str">
        <f>IF(F11=1,E11*100+COUNTIFS($E$5:E11,E11,$F$5:F11,1),"")</f>
        <v/>
      </c>
      <c r="H11" t="str">
        <f>IF(F11=1,C11,"")</f>
        <v/>
      </c>
    </row>
    <row r="12" spans="2:8" x14ac:dyDescent="0.25">
      <c r="B12" s="37" t="s">
        <v>30</v>
      </c>
      <c r="C12" s="38">
        <v>46532</v>
      </c>
      <c r="D12" s="37" t="s">
        <v>38</v>
      </c>
      <c r="E12">
        <f>IF(C12="","",MONTH(C12))</f>
        <v>5</v>
      </c>
      <c r="F12">
        <f>IF(AND(C12&lt;&gt;"",YEAR(C12)=CalYear,OR(B12=CountryCode,B12="MY")),1,0)</f>
        <v>0</v>
      </c>
      <c r="G12" t="str">
        <f>IF(F12=1,E12*100+COUNTIFS($E$5:E12,E12,$F$5:F12,1),"")</f>
        <v/>
      </c>
      <c r="H12" t="str">
        <f>IF(F12=1,C12,"")</f>
        <v/>
      </c>
    </row>
    <row r="13" spans="2:8" x14ac:dyDescent="0.25">
      <c r="B13" s="37" t="s">
        <v>30</v>
      </c>
      <c r="C13" s="38">
        <v>46558</v>
      </c>
      <c r="D13" s="37" t="s">
        <v>39</v>
      </c>
      <c r="E13">
        <f>IF(C13="","",MONTH(C13))</f>
        <v>6</v>
      </c>
      <c r="F13">
        <f>IF(AND(C13&lt;&gt;"",YEAR(C13)=CalYear,OR(B13=CountryCode,B13="MY")),1,0)</f>
        <v>0</v>
      </c>
      <c r="G13" t="str">
        <f>IF(F13=1,E13*100+COUNTIFS($E$5:E13,E13,$F$5:F13,1),"")</f>
        <v/>
      </c>
      <c r="H13" t="str">
        <f>IF(F13=1,C13,"")</f>
        <v/>
      </c>
    </row>
    <row r="14" spans="2:8" x14ac:dyDescent="0.25">
      <c r="B14" s="37" t="s">
        <v>30</v>
      </c>
      <c r="C14" s="38">
        <v>46559</v>
      </c>
      <c r="D14" s="37" t="s">
        <v>40</v>
      </c>
      <c r="E14">
        <f>IF(C14="","",MONTH(C14))</f>
        <v>6</v>
      </c>
      <c r="F14">
        <f>IF(AND(C14&lt;&gt;"",YEAR(C14)=CalYear,OR(B14=CountryCode,B14="MY")),1,0)</f>
        <v>0</v>
      </c>
      <c r="G14" t="str">
        <f>IF(F14=1,E14*100+COUNTIFS($E$5:E14,E14,$F$5:F14,1),"")</f>
        <v/>
      </c>
      <c r="H14" t="str">
        <f>IF(F14=1,C14,"")</f>
        <v/>
      </c>
    </row>
    <row r="15" spans="2:8" x14ac:dyDescent="0.25">
      <c r="B15" s="37" t="s">
        <v>30</v>
      </c>
      <c r="C15" s="38">
        <v>46577</v>
      </c>
      <c r="D15" s="37" t="s">
        <v>41</v>
      </c>
      <c r="E15">
        <f>IF(C15="","",MONTH(C15))</f>
        <v>7</v>
      </c>
      <c r="F15">
        <f>IF(AND(C15&lt;&gt;"",YEAR(C15)=CalYear,OR(B15=CountryCode,B15="MY")),1,0)</f>
        <v>0</v>
      </c>
      <c r="G15" t="str">
        <f>IF(F15=1,E15*100+COUNTIFS($E$5:E15,E15,$F$5:F15,1),"")</f>
        <v/>
      </c>
      <c r="H15" t="str">
        <f>IF(F15=1,C15,"")</f>
        <v/>
      </c>
    </row>
    <row r="16" spans="2:8" x14ac:dyDescent="0.25">
      <c r="B16" s="37" t="s">
        <v>30</v>
      </c>
      <c r="C16" s="38">
        <v>46615</v>
      </c>
      <c r="D16" s="37" t="s">
        <v>42</v>
      </c>
      <c r="E16">
        <f>IF(C16="","",MONTH(C16))</f>
        <v>8</v>
      </c>
      <c r="F16">
        <f>IF(AND(C16&lt;&gt;"",YEAR(C16)=CalYear,OR(B16=CountryCode,B16="MY")),1,0)</f>
        <v>0</v>
      </c>
      <c r="G16" t="str">
        <f>IF(F16=1,E16*100+COUNTIFS($E$5:E16,E16,$F$5:F16,1),"")</f>
        <v/>
      </c>
      <c r="H16" t="str">
        <f>IF(F16=1,C16,"")</f>
        <v/>
      </c>
    </row>
    <row r="17" spans="2:8" x14ac:dyDescent="0.25">
      <c r="B17" s="37" t="s">
        <v>30</v>
      </c>
      <c r="C17" s="38">
        <v>46671</v>
      </c>
      <c r="D17" s="37" t="s">
        <v>43</v>
      </c>
      <c r="E17">
        <f>IF(C17="","",MONTH(C17))</f>
        <v>10</v>
      </c>
      <c r="F17">
        <f>IF(AND(C17&lt;&gt;"",YEAR(C17)=CalYear,OR(B17=CountryCode,B17="MY")),1,0)</f>
        <v>0</v>
      </c>
      <c r="G17" t="str">
        <f>IF(F17=1,E17*100+COUNTIFS($E$5:E17,E17,$F$5:F17,1),"")</f>
        <v/>
      </c>
      <c r="H17" t="str">
        <f>IF(F17=1,C17,"")</f>
        <v/>
      </c>
    </row>
    <row r="18" spans="2:8" x14ac:dyDescent="0.25">
      <c r="B18" s="37" t="s">
        <v>30</v>
      </c>
      <c r="C18" s="38">
        <v>46711</v>
      </c>
      <c r="D18" s="37" t="s">
        <v>44</v>
      </c>
      <c r="E18">
        <f>IF(C18="","",MONTH(C18))</f>
        <v>11</v>
      </c>
      <c r="F18">
        <f>IF(AND(C18&lt;&gt;"",YEAR(C18)=CalYear,OR(B18=CountryCode,B18="MY")),1,0)</f>
        <v>0</v>
      </c>
      <c r="G18" t="str">
        <f>IF(F18=1,E18*100+COUNTIFS($E$5:E18,E18,$F$5:F18,1),"")</f>
        <v/>
      </c>
      <c r="H18" t="str">
        <f>IF(F18=1,C18,"")</f>
        <v/>
      </c>
    </row>
    <row r="19" spans="2:8" x14ac:dyDescent="0.25">
      <c r="B19" s="37" t="s">
        <v>30</v>
      </c>
      <c r="C19" s="38">
        <v>46729</v>
      </c>
      <c r="D19" s="37" t="s">
        <v>45</v>
      </c>
      <c r="E19">
        <f>IF(C19="","",MONTH(C19))</f>
        <v>12</v>
      </c>
      <c r="F19">
        <f>IF(AND(C19&lt;&gt;"",YEAR(C19)=CalYear,OR(B19=CountryCode,B19="MY")),1,0)</f>
        <v>0</v>
      </c>
      <c r="G19" t="str">
        <f>IF(F19=1,E19*100+COUNTIFS($E$5:E19,E19,$F$5:F19,1),"")</f>
        <v/>
      </c>
      <c r="H19" t="str">
        <f>IF(F19=1,C19,"")</f>
        <v/>
      </c>
    </row>
    <row r="20" spans="2:8" x14ac:dyDescent="0.25">
      <c r="B20" s="37" t="s">
        <v>30</v>
      </c>
      <c r="C20" s="38">
        <v>46746</v>
      </c>
      <c r="D20" s="37" t="s">
        <v>46</v>
      </c>
      <c r="E20">
        <f>IF(C20="","",MONTH(C20))</f>
        <v>12</v>
      </c>
      <c r="F20">
        <f>IF(AND(C20&lt;&gt;"",YEAR(C20)=CalYear,OR(B20=CountryCode,B20="MY")),1,0)</f>
        <v>0</v>
      </c>
      <c r="G20" t="str">
        <f>IF(F20=1,E20*100+COUNTIFS($E$5:E20,E20,$F$5:F20,1),"")</f>
        <v/>
      </c>
      <c r="H20" t="str">
        <f>IF(F20=1,C20,"")</f>
        <v/>
      </c>
    </row>
    <row r="21" spans="2:8" x14ac:dyDescent="0.25">
      <c r="B21" s="37" t="s">
        <v>47</v>
      </c>
      <c r="C21" s="38">
        <v>46388</v>
      </c>
      <c r="D21" s="37" t="s">
        <v>31</v>
      </c>
      <c r="E21">
        <f>IF(C21="","",MONTH(C21))</f>
        <v>1</v>
      </c>
      <c r="F21">
        <f>IF(AND(C21&lt;&gt;"",YEAR(C21)=CalYear,OR(B21=CountryCode,B21="MY")),1,0)</f>
        <v>0</v>
      </c>
      <c r="G21" t="str">
        <f>IF(F21=1,E21*100+COUNTIFS($E$5:E21,E21,$F$5:F21,1),"")</f>
        <v/>
      </c>
      <c r="H21" t="str">
        <f>IF(F21=1,C21,"")</f>
        <v/>
      </c>
    </row>
    <row r="22" spans="2:8" x14ac:dyDescent="0.25">
      <c r="B22" s="37" t="s">
        <v>47</v>
      </c>
      <c r="C22" s="38">
        <v>46413</v>
      </c>
      <c r="D22" s="37" t="s">
        <v>48</v>
      </c>
      <c r="E22">
        <f>IF(C22="","",MONTH(C22))</f>
        <v>1</v>
      </c>
      <c r="F22">
        <f>IF(AND(C22&lt;&gt;"",YEAR(C22)=CalYear,OR(B22=CountryCode,B22="MY")),1,0)</f>
        <v>0</v>
      </c>
      <c r="G22" t="str">
        <f>IF(F22=1,E22*100+COUNTIFS($E$5:E22,E22,$F$5:F22,1),"")</f>
        <v/>
      </c>
      <c r="H22" t="str">
        <f>IF(F22=1,C22,"")</f>
        <v/>
      </c>
    </row>
    <row r="23" spans="2:8" x14ac:dyDescent="0.25">
      <c r="B23" s="37" t="s">
        <v>47</v>
      </c>
      <c r="C23" s="38">
        <v>46472</v>
      </c>
      <c r="D23" s="37" t="s">
        <v>35</v>
      </c>
      <c r="E23">
        <f>IF(C23="","",MONTH(C23))</f>
        <v>3</v>
      </c>
      <c r="F23">
        <f>IF(AND(C23&lt;&gt;"",YEAR(C23)=CalYear,OR(B23=CountryCode,B23="MY")),1,0)</f>
        <v>0</v>
      </c>
      <c r="G23" t="str">
        <f>IF(F23=1,E23*100+COUNTIFS($E$5:E23,E23,$F$5:F23,1),"")</f>
        <v/>
      </c>
      <c r="H23" t="str">
        <f>IF(F23=1,C23,"")</f>
        <v/>
      </c>
    </row>
    <row r="24" spans="2:8" x14ac:dyDescent="0.25">
      <c r="B24" s="37" t="s">
        <v>47</v>
      </c>
      <c r="C24" s="38">
        <v>46473</v>
      </c>
      <c r="D24" s="37" t="s">
        <v>49</v>
      </c>
      <c r="E24">
        <f>IF(C24="","",MONTH(C24))</f>
        <v>3</v>
      </c>
      <c r="F24">
        <f>IF(AND(C24&lt;&gt;"",YEAR(C24)=CalYear,OR(B24=CountryCode,B24="MY")),1,0)</f>
        <v>0</v>
      </c>
      <c r="G24" t="str">
        <f>IF(F24=1,E24*100+COUNTIFS($E$5:E24,E24,$F$5:F24,1),"")</f>
        <v/>
      </c>
      <c r="H24" t="str">
        <f>IF(F24=1,C24,"")</f>
        <v/>
      </c>
    </row>
    <row r="25" spans="2:8" x14ac:dyDescent="0.25">
      <c r="B25" s="37" t="s">
        <v>47</v>
      </c>
      <c r="C25" s="38">
        <v>46474</v>
      </c>
      <c r="D25" s="37" t="s">
        <v>50</v>
      </c>
      <c r="E25">
        <f>IF(C25="","",MONTH(C25))</f>
        <v>3</v>
      </c>
      <c r="F25">
        <f>IF(AND(C25&lt;&gt;"",YEAR(C25)=CalYear,OR(B25=CountryCode,B25="MY")),1,0)</f>
        <v>0</v>
      </c>
      <c r="G25" t="str">
        <f>IF(F25=1,E25*100+COUNTIFS($E$5:E25,E25,$F$5:F25,1),"")</f>
        <v/>
      </c>
      <c r="H25" t="str">
        <f>IF(F25=1,C25,"")</f>
        <v/>
      </c>
    </row>
    <row r="26" spans="2:8" x14ac:dyDescent="0.25">
      <c r="B26" s="37" t="s">
        <v>47</v>
      </c>
      <c r="C26" s="38">
        <v>46475</v>
      </c>
      <c r="D26" s="37" t="s">
        <v>51</v>
      </c>
      <c r="E26">
        <f>IF(C26="","",MONTH(C26))</f>
        <v>3</v>
      </c>
      <c r="F26">
        <f>IF(AND(C26&lt;&gt;"",YEAR(C26)=CalYear,OR(B26=CountryCode,B26="MY")),1,0)</f>
        <v>0</v>
      </c>
      <c r="G26" t="str">
        <f>IF(F26=1,E26*100+COUNTIFS($E$5:E26,E26,$F$5:F26,1),"")</f>
        <v/>
      </c>
      <c r="H26" t="str">
        <f>IF(F26=1,C26,"")</f>
        <v/>
      </c>
    </row>
    <row r="27" spans="2:8" x14ac:dyDescent="0.25">
      <c r="B27" s="37" t="s">
        <v>47</v>
      </c>
      <c r="C27" s="38">
        <v>46502</v>
      </c>
      <c r="D27" s="37" t="s">
        <v>52</v>
      </c>
      <c r="E27">
        <f>IF(C27="","",MONTH(C27))</f>
        <v>4</v>
      </c>
      <c r="F27">
        <f>IF(AND(C27&lt;&gt;"",YEAR(C27)=CalYear,OR(B27=CountryCode,B27="MY")),1,0)</f>
        <v>0</v>
      </c>
      <c r="G27" t="str">
        <f>IF(F27=1,E27*100+COUNTIFS($E$5:E27,E27,$F$5:F27,1),"")</f>
        <v/>
      </c>
      <c r="H27" t="str">
        <f>IF(F27=1,C27,"")</f>
        <v/>
      </c>
    </row>
    <row r="28" spans="2:8" x14ac:dyDescent="0.25">
      <c r="B28" s="37" t="s">
        <v>47</v>
      </c>
      <c r="C28" s="38">
        <v>46746</v>
      </c>
      <c r="D28" s="37" t="s">
        <v>46</v>
      </c>
      <c r="E28">
        <f>IF(C28="","",MONTH(C28))</f>
        <v>12</v>
      </c>
      <c r="F28">
        <f>IF(AND(C28&lt;&gt;"",YEAR(C28)=CalYear,OR(B28=CountryCode,B28="MY")),1,0)</f>
        <v>0</v>
      </c>
      <c r="G28" t="str">
        <f>IF(F28=1,E28*100+COUNTIFS($E$5:E28,E28,$F$5:F28,1),"")</f>
        <v/>
      </c>
      <c r="H28" t="str">
        <f>IF(F28=1,C28,"")</f>
        <v/>
      </c>
    </row>
    <row r="29" spans="2:8" x14ac:dyDescent="0.25">
      <c r="B29" s="37" t="s">
        <v>47</v>
      </c>
      <c r="C29" s="38">
        <v>46747</v>
      </c>
      <c r="D29" s="37" t="s">
        <v>53</v>
      </c>
      <c r="E29">
        <f>IF(C29="","",MONTH(C29))</f>
        <v>12</v>
      </c>
      <c r="F29">
        <f>IF(AND(C29&lt;&gt;"",YEAR(C29)=CalYear,OR(B29=CountryCode,B29="MY")),1,0)</f>
        <v>0</v>
      </c>
      <c r="G29" t="str">
        <f>IF(F29=1,E29*100+COUNTIFS($E$5:E29,E29,$F$5:F29,1),"")</f>
        <v/>
      </c>
      <c r="H29" t="str">
        <f>IF(F29=1,C29,"")</f>
        <v/>
      </c>
    </row>
    <row r="30" spans="2:8" x14ac:dyDescent="0.25">
      <c r="B30" s="37" t="s">
        <v>47</v>
      </c>
      <c r="C30" s="38">
        <v>46748</v>
      </c>
      <c r="D30" s="37" t="s">
        <v>54</v>
      </c>
      <c r="E30">
        <f>IF(C30="","",MONTH(C30))</f>
        <v>12</v>
      </c>
      <c r="F30">
        <f>IF(AND(C30&lt;&gt;"",YEAR(C30)=CalYear,OR(B30=CountryCode,B30="MY")),1,0)</f>
        <v>0</v>
      </c>
      <c r="G30" t="str">
        <f>IF(F30=1,E30*100+COUNTIFS($E$5:E30,E30,$F$5:F30,1),"")</f>
        <v/>
      </c>
      <c r="H30" t="str">
        <f>IF(F30=1,C30,"")</f>
        <v/>
      </c>
    </row>
    <row r="31" spans="2:8" x14ac:dyDescent="0.25">
      <c r="B31" s="37" t="s">
        <v>47</v>
      </c>
      <c r="C31" s="38">
        <v>46749</v>
      </c>
      <c r="D31" s="37" t="s">
        <v>55</v>
      </c>
      <c r="E31">
        <f>IF(C31="","",MONTH(C31))</f>
        <v>12</v>
      </c>
      <c r="F31">
        <f>IF(AND(C31&lt;&gt;"",YEAR(C31)=CalYear,OR(B31=CountryCode,B31="MY")),1,0)</f>
        <v>0</v>
      </c>
      <c r="G31" t="str">
        <f>IF(F31=1,E31*100+COUNTIFS($E$5:E31,E31,$F$5:F31,1),"")</f>
        <v/>
      </c>
      <c r="H31" t="str">
        <f>IF(F31=1,C31,"")</f>
        <v/>
      </c>
    </row>
    <row r="32" spans="2:8" x14ac:dyDescent="0.25">
      <c r="B32" s="37" t="s">
        <v>56</v>
      </c>
      <c r="C32" s="38">
        <v>46388</v>
      </c>
      <c r="D32" s="37" t="s">
        <v>31</v>
      </c>
      <c r="E32">
        <f>IF(C32="","",MONTH(C32))</f>
        <v>1</v>
      </c>
      <c r="F32">
        <f>IF(AND(C32&lt;&gt;"",YEAR(C32)=CalYear,OR(B32=CountryCode,B32="MY")),1,0)</f>
        <v>0</v>
      </c>
      <c r="G32" t="str">
        <f>IF(F32=1,E32*100+COUNTIFS($E$5:E32,E32,$F$5:F32,1),"")</f>
        <v/>
      </c>
      <c r="H32" t="str">
        <f>IF(F32=1,C32,"")</f>
        <v/>
      </c>
    </row>
    <row r="33" spans="2:8" x14ac:dyDescent="0.25">
      <c r="B33" s="37" t="s">
        <v>56</v>
      </c>
      <c r="C33" s="38">
        <v>46472</v>
      </c>
      <c r="D33" s="37" t="s">
        <v>35</v>
      </c>
      <c r="E33">
        <f>IF(C33="","",MONTH(C33))</f>
        <v>3</v>
      </c>
      <c r="F33">
        <f>IF(AND(C33&lt;&gt;"",YEAR(C33)=CalYear,OR(B33=CountryCode,B33="MY")),1,0)</f>
        <v>0</v>
      </c>
      <c r="G33" t="str">
        <f>IF(F33=1,E33*100+COUNTIFS($E$5:E33,E33,$F$5:F33,1),"")</f>
        <v/>
      </c>
      <c r="H33" t="str">
        <f>IF(F33=1,C33,"")</f>
        <v/>
      </c>
    </row>
    <row r="34" spans="2:8" x14ac:dyDescent="0.25">
      <c r="B34" s="37" t="s">
        <v>56</v>
      </c>
      <c r="C34" s="38">
        <v>46498</v>
      </c>
      <c r="D34" s="37" t="s">
        <v>57</v>
      </c>
      <c r="E34">
        <f>IF(C34="","",MONTH(C34))</f>
        <v>4</v>
      </c>
      <c r="F34">
        <f>IF(AND(C34&lt;&gt;"",YEAR(C34)=CalYear,OR(B34=CountryCode,B34="MY")),1,0)</f>
        <v>0</v>
      </c>
      <c r="G34" t="str">
        <f>IF(F34=1,E34*100+COUNTIFS($E$5:E34,E34,$F$5:F34,1),"")</f>
        <v/>
      </c>
      <c r="H34" t="str">
        <f>IF(F34=1,C34,"")</f>
        <v/>
      </c>
    </row>
    <row r="35" spans="2:8" x14ac:dyDescent="0.25">
      <c r="B35" s="37" t="s">
        <v>56</v>
      </c>
      <c r="C35" s="38">
        <v>46508</v>
      </c>
      <c r="D35" s="37" t="s">
        <v>37</v>
      </c>
      <c r="E35">
        <f>IF(C35="","",MONTH(C35))</f>
        <v>5</v>
      </c>
      <c r="F35">
        <f>IF(AND(C35&lt;&gt;"",YEAR(C35)=CalYear,OR(B35=CountryCode,B35="MY")),1,0)</f>
        <v>0</v>
      </c>
      <c r="G35" t="str">
        <f>IF(F35=1,E35*100+COUNTIFS($E$5:E35,E35,$F$5:F35,1),"")</f>
        <v/>
      </c>
      <c r="H35" t="str">
        <f>IF(F35=1,C35,"")</f>
        <v/>
      </c>
    </row>
    <row r="36" spans="2:8" x14ac:dyDescent="0.25">
      <c r="B36" s="37" t="s">
        <v>56</v>
      </c>
      <c r="C36" s="38">
        <v>46637</v>
      </c>
      <c r="D36" s="37" t="s">
        <v>41</v>
      </c>
      <c r="E36">
        <f>IF(C36="","",MONTH(C36))</f>
        <v>9</v>
      </c>
      <c r="F36">
        <f>IF(AND(C36&lt;&gt;"",YEAR(C36)=CalYear,OR(B36=CountryCode,B36="MY")),1,0)</f>
        <v>0</v>
      </c>
      <c r="G36" t="str">
        <f>IF(F36=1,E36*100+COUNTIFS($E$5:E36,E36,$F$5:F36,1),"")</f>
        <v/>
      </c>
      <c r="H36" t="str">
        <f>IF(F36=1,C36,"")</f>
        <v/>
      </c>
    </row>
    <row r="37" spans="2:8" x14ac:dyDescent="0.25">
      <c r="B37" s="37" t="s">
        <v>56</v>
      </c>
      <c r="C37" s="38">
        <v>46672</v>
      </c>
      <c r="D37" s="37" t="s">
        <v>58</v>
      </c>
      <c r="E37">
        <f>IF(C37="","",MONTH(C37))</f>
        <v>10</v>
      </c>
      <c r="F37">
        <f>IF(AND(C37&lt;&gt;"",YEAR(C37)=CalYear,OR(B37=CountryCode,B37="MY")),1,0)</f>
        <v>0</v>
      </c>
      <c r="G37" t="str">
        <f>IF(F37=1,E37*100+COUNTIFS($E$5:E37,E37,$F$5:F37,1),"")</f>
        <v/>
      </c>
      <c r="H37" t="str">
        <f>IF(F37=1,C37,"")</f>
        <v/>
      </c>
    </row>
    <row r="38" spans="2:8" x14ac:dyDescent="0.25">
      <c r="B38" s="37" t="s">
        <v>56</v>
      </c>
      <c r="C38" s="38">
        <v>46693</v>
      </c>
      <c r="D38" s="37" t="s">
        <v>59</v>
      </c>
      <c r="E38">
        <f>IF(C38="","",MONTH(C38))</f>
        <v>11</v>
      </c>
      <c r="F38">
        <f>IF(AND(C38&lt;&gt;"",YEAR(C38)=CalYear,OR(B38=CountryCode,B38="MY")),1,0)</f>
        <v>0</v>
      </c>
      <c r="G38" t="str">
        <f>IF(F38=1,E38*100+COUNTIFS($E$5:E38,E38,$F$5:F38,1),"")</f>
        <v/>
      </c>
      <c r="H38" t="str">
        <f>IF(F38=1,C38,"")</f>
        <v/>
      </c>
    </row>
    <row r="39" spans="2:8" x14ac:dyDescent="0.25">
      <c r="B39" s="37" t="s">
        <v>56</v>
      </c>
      <c r="C39" s="38">
        <v>46706</v>
      </c>
      <c r="D39" s="37" t="s">
        <v>60</v>
      </c>
      <c r="E39">
        <f>IF(C39="","",MONTH(C39))</f>
        <v>11</v>
      </c>
      <c r="F39">
        <f>IF(AND(C39&lt;&gt;"",YEAR(C39)=CalYear,OR(B39=CountryCode,B39="MY")),1,0)</f>
        <v>0</v>
      </c>
      <c r="G39" t="str">
        <f>IF(F39=1,E39*100+COUNTIFS($E$5:E39,E39,$F$5:F39,1),"")</f>
        <v/>
      </c>
      <c r="H39" t="str">
        <f>IF(F39=1,C39,"")</f>
        <v/>
      </c>
    </row>
    <row r="40" spans="2:8" x14ac:dyDescent="0.25">
      <c r="B40" s="37" t="s">
        <v>56</v>
      </c>
      <c r="C40" s="38">
        <v>46711</v>
      </c>
      <c r="D40" s="37" t="s">
        <v>61</v>
      </c>
      <c r="E40">
        <f>IF(C40="","",MONTH(C40))</f>
        <v>11</v>
      </c>
      <c r="F40">
        <f>IF(AND(C40&lt;&gt;"",YEAR(C40)=CalYear,OR(B40=CountryCode,B40="MY")),1,0)</f>
        <v>0</v>
      </c>
      <c r="G40" t="str">
        <f>IF(F40=1,E40*100+COUNTIFS($E$5:E40,E40,$F$5:F40,1),"")</f>
        <v/>
      </c>
      <c r="H40" t="str">
        <f>IF(F40=1,C40,"")</f>
        <v/>
      </c>
    </row>
    <row r="41" spans="2:8" x14ac:dyDescent="0.25">
      <c r="B41" s="37" t="s">
        <v>56</v>
      </c>
      <c r="C41" s="38">
        <v>46746</v>
      </c>
      <c r="D41" s="37" t="s">
        <v>46</v>
      </c>
      <c r="E41">
        <f>IF(C41="","",MONTH(C41))</f>
        <v>12</v>
      </c>
      <c r="F41">
        <f>IF(AND(C41&lt;&gt;"",YEAR(C41)=CalYear,OR(B41=CountryCode,B41="MY")),1,0)</f>
        <v>0</v>
      </c>
      <c r="G41" t="str">
        <f>IF(F41=1,E41*100+COUNTIFS($E$5:E41,E41,$F$5:F41,1),"")</f>
        <v/>
      </c>
      <c r="H41" t="str">
        <f>IF(F41=1,C41,"")</f>
        <v/>
      </c>
    </row>
    <row r="42" spans="2:8" x14ac:dyDescent="0.25">
      <c r="B42" s="37" t="s">
        <v>62</v>
      </c>
      <c r="C42" s="38">
        <v>46388</v>
      </c>
      <c r="D42" s="37" t="s">
        <v>31</v>
      </c>
      <c r="E42">
        <f>IF(C42="","",MONTH(C42))</f>
        <v>1</v>
      </c>
      <c r="F42">
        <f>IF(AND(C42&lt;&gt;"",YEAR(C42)=CalYear,OR(B42=CountryCode,B42="MY")),1,0)</f>
        <v>0</v>
      </c>
      <c r="G42" t="str">
        <f>IF(F42=1,E42*100+COUNTIFS($E$5:E42,E42,$F$5:F42,1),"")</f>
        <v/>
      </c>
      <c r="H42" t="str">
        <f>IF(F42=1,C42,"")</f>
        <v/>
      </c>
    </row>
    <row r="43" spans="2:8" x14ac:dyDescent="0.25">
      <c r="B43" s="37" t="s">
        <v>62</v>
      </c>
      <c r="C43" s="38">
        <v>46472</v>
      </c>
      <c r="D43" s="37" t="s">
        <v>35</v>
      </c>
      <c r="E43">
        <f>IF(C43="","",MONTH(C43))</f>
        <v>3</v>
      </c>
      <c r="F43">
        <f>IF(AND(C43&lt;&gt;"",YEAR(C43)=CalYear,OR(B43=CountryCode,B43="MY")),1,0)</f>
        <v>0</v>
      </c>
      <c r="G43" t="str">
        <f>IF(F43=1,E43*100+COUNTIFS($E$5:E43,E43,$F$5:F43,1),"")</f>
        <v/>
      </c>
      <c r="H43" t="str">
        <f>IF(F43=1,C43,"")</f>
        <v/>
      </c>
    </row>
    <row r="44" spans="2:8" x14ac:dyDescent="0.25">
      <c r="B44" s="37" t="s">
        <v>62</v>
      </c>
      <c r="C44" s="38">
        <v>46569</v>
      </c>
      <c r="D44" s="37" t="s">
        <v>63</v>
      </c>
      <c r="E44">
        <f>IF(C44="","",MONTH(C44))</f>
        <v>7</v>
      </c>
      <c r="F44">
        <f>IF(AND(C44&lt;&gt;"",YEAR(C44)=CalYear,OR(B44=CountryCode,B44="MY")),1,0)</f>
        <v>0</v>
      </c>
      <c r="G44" t="str">
        <f>IF(F44=1,E44*100+COUNTIFS($E$5:E44,E44,$F$5:F44,1),"")</f>
        <v/>
      </c>
      <c r="H44" t="str">
        <f>IF(F44=1,C44,"")</f>
        <v/>
      </c>
    </row>
    <row r="45" spans="2:8" x14ac:dyDescent="0.25">
      <c r="B45" s="37" t="s">
        <v>62</v>
      </c>
      <c r="C45" s="38">
        <v>46636</v>
      </c>
      <c r="D45" s="37" t="s">
        <v>37</v>
      </c>
      <c r="E45">
        <f>IF(C45="","",MONTH(C45))</f>
        <v>9</v>
      </c>
      <c r="F45">
        <f>IF(AND(C45&lt;&gt;"",YEAR(C45)=CalYear,OR(B45=CountryCode,B45="MY")),1,0)</f>
        <v>0</v>
      </c>
      <c r="G45" t="str">
        <f>IF(F45=1,E45*100+COUNTIFS($E$5:E45,E45,$F$5:F45,1),"")</f>
        <v/>
      </c>
      <c r="H45" t="str">
        <f>IF(F45=1,C45,"")</f>
        <v/>
      </c>
    </row>
    <row r="46" spans="2:8" x14ac:dyDescent="0.25">
      <c r="B46" s="37" t="s">
        <v>62</v>
      </c>
      <c r="C46" s="38">
        <v>46746</v>
      </c>
      <c r="D46" s="37" t="s">
        <v>46</v>
      </c>
      <c r="E46">
        <f>IF(C46="","",MONTH(C46))</f>
        <v>12</v>
      </c>
      <c r="F46">
        <f>IF(AND(C46&lt;&gt;"",YEAR(C46)=CalYear,OR(B46=CountryCode,B46="MY")),1,0)</f>
        <v>0</v>
      </c>
      <c r="G46" t="str">
        <f>IF(F46=1,E46*100+COUNTIFS($E$5:E46,E46,$F$5:F46,1),"")</f>
        <v/>
      </c>
      <c r="H46" t="str">
        <f>IF(F46=1,C46,"")</f>
        <v/>
      </c>
    </row>
    <row r="47" spans="2:8" x14ac:dyDescent="0.25">
      <c r="B47" s="37" t="s">
        <v>64</v>
      </c>
      <c r="C47" s="38">
        <v>46388</v>
      </c>
      <c r="D47" s="37" t="s">
        <v>31</v>
      </c>
      <c r="E47">
        <f>IF(C47="","",MONTH(C47))</f>
        <v>1</v>
      </c>
      <c r="F47">
        <f>IF(AND(C47&lt;&gt;"",YEAR(C47)=CalYear,OR(B47=CountryCode,B47="MY")),1,0)</f>
        <v>0</v>
      </c>
      <c r="G47" t="str">
        <f>IF(F47=1,E47*100+COUNTIFS($E$5:E47,E47,$F$5:F47,1),"")</f>
        <v/>
      </c>
      <c r="H47" t="str">
        <f>IF(F47=1,C47,"")</f>
        <v/>
      </c>
    </row>
    <row r="48" spans="2:8" x14ac:dyDescent="0.25">
      <c r="B48" s="37" t="s">
        <v>64</v>
      </c>
      <c r="C48" s="38">
        <v>46472</v>
      </c>
      <c r="D48" s="37" t="s">
        <v>35</v>
      </c>
      <c r="E48">
        <f>IF(C48="","",MONTH(C48))</f>
        <v>3</v>
      </c>
      <c r="F48">
        <f>IF(AND(C48&lt;&gt;"",YEAR(C48)=CalYear,OR(B48=CountryCode,B48="MY")),1,0)</f>
        <v>0</v>
      </c>
      <c r="G48" t="str">
        <f>IF(F48=1,E48*100+COUNTIFS($E$5:E48,E48,$F$5:F48,1),"")</f>
        <v/>
      </c>
      <c r="H48" t="str">
        <f>IF(F48=1,C48,"")</f>
        <v/>
      </c>
    </row>
    <row r="49" spans="2:8" x14ac:dyDescent="0.25">
      <c r="B49" s="37" t="s">
        <v>64</v>
      </c>
      <c r="C49" s="38">
        <v>46474</v>
      </c>
      <c r="D49" s="37" t="s">
        <v>50</v>
      </c>
      <c r="E49">
        <f>IF(C49="","",MONTH(C49))</f>
        <v>3</v>
      </c>
      <c r="F49">
        <f>IF(AND(C49&lt;&gt;"",YEAR(C49)=CalYear,OR(B49=CountryCode,B49="MY")),1,0)</f>
        <v>0</v>
      </c>
      <c r="G49" t="str">
        <f>IF(F49=1,E49*100+COUNTIFS($E$5:E49,E49,$F$5:F49,1),"")</f>
        <v/>
      </c>
      <c r="H49" t="str">
        <f>IF(F49=1,C49,"")</f>
        <v/>
      </c>
    </row>
    <row r="50" spans="2:8" x14ac:dyDescent="0.25">
      <c r="B50" s="37" t="s">
        <v>64</v>
      </c>
      <c r="C50" s="38">
        <v>46508</v>
      </c>
      <c r="D50" s="37" t="s">
        <v>37</v>
      </c>
      <c r="E50">
        <f>IF(C50="","",MONTH(C50))</f>
        <v>5</v>
      </c>
      <c r="F50">
        <f>IF(AND(C50&lt;&gt;"",YEAR(C50)=CalYear,OR(B50=CountryCode,B50="MY")),1,0)</f>
        <v>0</v>
      </c>
      <c r="G50" t="str">
        <f>IF(F50=1,E50*100+COUNTIFS($E$5:E50,E50,$F$5:F50,1),"")</f>
        <v/>
      </c>
      <c r="H50" t="str">
        <f>IF(F50=1,C50,"")</f>
        <v/>
      </c>
    </row>
    <row r="51" spans="2:8" x14ac:dyDescent="0.25">
      <c r="B51" s="37" t="s">
        <v>64</v>
      </c>
      <c r="C51" s="38">
        <v>46528</v>
      </c>
      <c r="D51" s="37" t="s">
        <v>65</v>
      </c>
      <c r="E51">
        <f>IF(C51="","",MONTH(C51))</f>
        <v>5</v>
      </c>
      <c r="F51">
        <f>IF(AND(C51&lt;&gt;"",YEAR(C51)=CalYear,OR(B51=CountryCode,B51="MY")),1,0)</f>
        <v>0</v>
      </c>
      <c r="G51" t="str">
        <f>IF(F51=1,E51*100+COUNTIFS($E$5:E51,E51,$F$5:F51,1),"")</f>
        <v/>
      </c>
      <c r="H51" t="str">
        <f>IF(F51=1,C51,"")</f>
        <v/>
      </c>
    </row>
    <row r="52" spans="2:8" x14ac:dyDescent="0.25">
      <c r="B52" s="37" t="s">
        <v>64</v>
      </c>
      <c r="C52" s="38">
        <v>46559</v>
      </c>
      <c r="D52" s="37" t="s">
        <v>66</v>
      </c>
      <c r="E52">
        <f>IF(C52="","",MONTH(C52))</f>
        <v>6</v>
      </c>
      <c r="F52">
        <f>IF(AND(C52&lt;&gt;"",YEAR(C52)=CalYear,OR(B52=CountryCode,B52="MY")),1,0)</f>
        <v>0</v>
      </c>
      <c r="G52" t="str">
        <f>IF(F52=1,E52*100+COUNTIFS($E$5:E52,E52,$F$5:F52,1),"")</f>
        <v/>
      </c>
      <c r="H52" t="str">
        <f>IF(F52=1,C52,"")</f>
        <v/>
      </c>
    </row>
    <row r="53" spans="2:8" x14ac:dyDescent="0.25">
      <c r="B53" s="37" t="s">
        <v>64</v>
      </c>
      <c r="C53" s="38">
        <v>46566</v>
      </c>
      <c r="D53" s="37" t="s">
        <v>67</v>
      </c>
      <c r="E53">
        <f>IF(C53="","",MONTH(C53))</f>
        <v>6</v>
      </c>
      <c r="F53">
        <f>IF(AND(C53&lt;&gt;"",YEAR(C53)=CalYear,OR(B53=CountryCode,B53="MY")),1,0)</f>
        <v>0</v>
      </c>
      <c r="G53" t="str">
        <f>IF(F53=1,E53*100+COUNTIFS($E$5:E53,E53,$F$5:F53,1),"")</f>
        <v/>
      </c>
      <c r="H53" t="str">
        <f>IF(F53=1,C53,"")</f>
        <v/>
      </c>
    </row>
    <row r="54" spans="2:8" x14ac:dyDescent="0.25">
      <c r="B54" s="37" t="s">
        <v>64</v>
      </c>
      <c r="C54" s="38">
        <v>46584</v>
      </c>
      <c r="D54" s="37" t="s">
        <v>68</v>
      </c>
      <c r="E54">
        <f>IF(C54="","",MONTH(C54))</f>
        <v>7</v>
      </c>
      <c r="F54">
        <f>IF(AND(C54&lt;&gt;"",YEAR(C54)=CalYear,OR(B54=CountryCode,B54="MY")),1,0)</f>
        <v>0</v>
      </c>
      <c r="G54" t="str">
        <f>IF(F54=1,E54*100+COUNTIFS($E$5:E54,E54,$F$5:F54,1),"")</f>
        <v/>
      </c>
      <c r="H54" t="str">
        <f>IF(F54=1,C54,"")</f>
        <v/>
      </c>
    </row>
    <row r="55" spans="2:8" x14ac:dyDescent="0.25">
      <c r="B55" s="37" t="s">
        <v>64</v>
      </c>
      <c r="C55" s="38">
        <v>46614</v>
      </c>
      <c r="D55" s="37" t="s">
        <v>69</v>
      </c>
      <c r="E55">
        <f>IF(C55="","",MONTH(C55))</f>
        <v>8</v>
      </c>
      <c r="F55">
        <f>IF(AND(C55&lt;&gt;"",YEAR(C55)=CalYear,OR(B55=CountryCode,B55="MY")),1,0)</f>
        <v>0</v>
      </c>
      <c r="G55" t="str">
        <f>IF(F55=1,E55*100+COUNTIFS($E$5:E55,E55,$F$5:F55,1),"")</f>
        <v/>
      </c>
      <c r="H55" t="str">
        <f>IF(F55=1,C55,"")</f>
        <v/>
      </c>
    </row>
    <row r="56" spans="2:8" x14ac:dyDescent="0.25">
      <c r="B56" s="37" t="s">
        <v>64</v>
      </c>
      <c r="C56" s="38">
        <v>46647</v>
      </c>
      <c r="D56" s="37" t="s">
        <v>70</v>
      </c>
      <c r="E56">
        <f>IF(C56="","",MONTH(C56))</f>
        <v>9</v>
      </c>
      <c r="F56">
        <f>IF(AND(C56&lt;&gt;"",YEAR(C56)=CalYear,OR(B56=CountryCode,B56="MY")),1,0)</f>
        <v>0</v>
      </c>
      <c r="G56" t="str">
        <f>IF(F56=1,E56*100+COUNTIFS($E$5:E56,E56,$F$5:F56,1),"")</f>
        <v/>
      </c>
      <c r="H56" t="str">
        <f>IF(F56=1,C56,"")</f>
        <v/>
      </c>
    </row>
    <row r="57" spans="2:8" x14ac:dyDescent="0.25">
      <c r="B57" s="37" t="s">
        <v>64</v>
      </c>
      <c r="C57" s="38">
        <v>46648</v>
      </c>
      <c r="D57" s="37" t="s">
        <v>70</v>
      </c>
      <c r="E57">
        <f>IF(C57="","",MONTH(C57))</f>
        <v>9</v>
      </c>
      <c r="F57">
        <f>IF(AND(C57&lt;&gt;"",YEAR(C57)=CalYear,OR(B57=CountryCode,B57="MY")),1,0)</f>
        <v>0</v>
      </c>
      <c r="G57" t="str">
        <f>IF(F57=1,E57*100+COUNTIFS($E$5:E57,E57,$F$5:F57,1),"")</f>
        <v/>
      </c>
      <c r="H57" t="str">
        <f>IF(F57=1,C57,"")</f>
        <v/>
      </c>
    </row>
    <row r="58" spans="2:8" x14ac:dyDescent="0.25">
      <c r="B58" s="37" t="s">
        <v>64</v>
      </c>
      <c r="C58" s="38">
        <v>46649</v>
      </c>
      <c r="D58" s="37" t="s">
        <v>71</v>
      </c>
      <c r="E58">
        <f>IF(C58="","",MONTH(C58))</f>
        <v>9</v>
      </c>
      <c r="F58">
        <f>IF(AND(C58&lt;&gt;"",YEAR(C58)=CalYear,OR(B58=CountryCode,B58="MY")),1,0)</f>
        <v>0</v>
      </c>
      <c r="G58" t="str">
        <f>IF(F58=1,E58*100+COUNTIFS($E$5:E58,E58,$F$5:F58,1),"")</f>
        <v/>
      </c>
      <c r="H58" t="str">
        <f>IF(F58=1,C58,"")</f>
        <v/>
      </c>
    </row>
    <row r="59" spans="2:8" x14ac:dyDescent="0.25">
      <c r="B59" s="37" t="s">
        <v>64</v>
      </c>
      <c r="C59" s="38">
        <v>46671</v>
      </c>
      <c r="D59" s="37" t="s">
        <v>72</v>
      </c>
      <c r="E59">
        <f>IF(C59="","",MONTH(C59))</f>
        <v>10</v>
      </c>
      <c r="F59">
        <f>IF(AND(C59&lt;&gt;"",YEAR(C59)=CalYear,OR(B59=CountryCode,B59="MY")),1,0)</f>
        <v>0</v>
      </c>
      <c r="G59" t="str">
        <f>IF(F59=1,E59*100+COUNTIFS($E$5:E59,E59,$F$5:F59,1),"")</f>
        <v/>
      </c>
      <c r="H59" t="str">
        <f>IF(F59=1,C59,"")</f>
        <v/>
      </c>
    </row>
    <row r="60" spans="2:8" x14ac:dyDescent="0.25">
      <c r="B60" s="37" t="s">
        <v>64</v>
      </c>
      <c r="C60" s="38">
        <v>46691</v>
      </c>
      <c r="D60" s="37" t="s">
        <v>73</v>
      </c>
      <c r="E60">
        <f>IF(C60="","",MONTH(C60))</f>
        <v>10</v>
      </c>
      <c r="F60">
        <f>IF(AND(C60&lt;&gt;"",YEAR(C60)=CalYear,OR(B60=CountryCode,B60="MY")),1,0)</f>
        <v>0</v>
      </c>
      <c r="G60" t="str">
        <f>IF(F60=1,E60*100+COUNTIFS($E$5:E60,E60,$F$5:F60,1),"")</f>
        <v/>
      </c>
      <c r="H60" t="str">
        <f>IF(F60=1,C60,"")</f>
        <v/>
      </c>
    </row>
    <row r="61" spans="2:8" x14ac:dyDescent="0.25">
      <c r="B61" s="37" t="s">
        <v>64</v>
      </c>
      <c r="C61" s="38">
        <v>46692</v>
      </c>
      <c r="D61" s="37" t="s">
        <v>74</v>
      </c>
      <c r="E61">
        <f>IF(C61="","",MONTH(C61))</f>
        <v>11</v>
      </c>
      <c r="F61">
        <f>IF(AND(C61&lt;&gt;"",YEAR(C61)=CalYear,OR(B61=CountryCode,B61="MY")),1,0)</f>
        <v>0</v>
      </c>
      <c r="G61" t="str">
        <f>IF(F61=1,E61*100+COUNTIFS($E$5:E61,E61,$F$5:F61,1),"")</f>
        <v/>
      </c>
      <c r="H61" t="str">
        <f>IF(F61=1,C61,"")</f>
        <v/>
      </c>
    </row>
    <row r="62" spans="2:8" x14ac:dyDescent="0.25">
      <c r="B62" s="37" t="s">
        <v>64</v>
      </c>
      <c r="C62" s="38">
        <v>46729</v>
      </c>
      <c r="D62" s="37" t="s">
        <v>75</v>
      </c>
      <c r="E62">
        <f>IF(C62="","",MONTH(C62))</f>
        <v>12</v>
      </c>
      <c r="F62">
        <f>IF(AND(C62&lt;&gt;"",YEAR(C62)=CalYear,OR(B62=CountryCode,B62="MY")),1,0)</f>
        <v>0</v>
      </c>
      <c r="G62" t="str">
        <f>IF(F62=1,E62*100+COUNTIFS($E$5:E62,E62,$F$5:F62,1),"")</f>
        <v/>
      </c>
      <c r="H62" t="str">
        <f>IF(F62=1,C62,"")</f>
        <v/>
      </c>
    </row>
    <row r="63" spans="2:8" x14ac:dyDescent="0.25">
      <c r="B63" s="37" t="s">
        <v>64</v>
      </c>
      <c r="C63" s="38">
        <v>46746</v>
      </c>
      <c r="D63" s="37" t="s">
        <v>46</v>
      </c>
      <c r="E63">
        <f>IF(C63="","",MONTH(C63))</f>
        <v>12</v>
      </c>
      <c r="F63">
        <f>IF(AND(C63&lt;&gt;"",YEAR(C63)=CalYear,OR(B63=CountryCode,B63="MY")),1,0)</f>
        <v>0</v>
      </c>
      <c r="G63" t="str">
        <f>IF(F63=1,E63*100+COUNTIFS($E$5:E63,E63,$F$5:F63,1),"")</f>
        <v/>
      </c>
      <c r="H63" t="str">
        <f>IF(F63=1,C63,"")</f>
        <v/>
      </c>
    </row>
    <row r="64" spans="2:8" x14ac:dyDescent="0.25">
      <c r="B64" s="37" t="s">
        <v>76</v>
      </c>
      <c r="C64" s="38">
        <v>46388</v>
      </c>
      <c r="D64" s="37" t="s">
        <v>31</v>
      </c>
      <c r="E64">
        <f>IF(C64="","",MONTH(C64))</f>
        <v>1</v>
      </c>
      <c r="F64">
        <f>IF(AND(C64&lt;&gt;"",YEAR(C64)=CalYear,OR(B64=CountryCode,B64="MY")),1,0)</f>
        <v>0</v>
      </c>
      <c r="G64" t="str">
        <f>IF(F64=1,E64*100+COUNTIFS($E$5:E64,E64,$F$5:F64,1),"")</f>
        <v/>
      </c>
      <c r="H64" t="str">
        <f>IF(F64=1,C64,"")</f>
        <v/>
      </c>
    </row>
    <row r="65" spans="2:8" x14ac:dyDescent="0.25">
      <c r="B65" s="37" t="s">
        <v>76</v>
      </c>
      <c r="C65" s="38">
        <v>46398</v>
      </c>
      <c r="D65" s="37" t="s">
        <v>77</v>
      </c>
      <c r="E65">
        <f>IF(C65="","",MONTH(C65))</f>
        <v>1</v>
      </c>
      <c r="F65">
        <f>IF(AND(C65&lt;&gt;"",YEAR(C65)=CalYear,OR(B65=CountryCode,B65="MY")),1,0)</f>
        <v>0</v>
      </c>
      <c r="G65" t="str">
        <f>IF(F65=1,E65*100+COUNTIFS($E$5:E65,E65,$F$5:F65,1),"")</f>
        <v/>
      </c>
      <c r="H65" t="str">
        <f>IF(F65=1,C65,"")</f>
        <v/>
      </c>
    </row>
    <row r="66" spans="2:8" x14ac:dyDescent="0.25">
      <c r="B66" s="37" t="s">
        <v>76</v>
      </c>
      <c r="C66" s="38">
        <v>46468</v>
      </c>
      <c r="D66" s="37" t="s">
        <v>78</v>
      </c>
      <c r="E66">
        <f>IF(C66="","",MONTH(C66))</f>
        <v>3</v>
      </c>
      <c r="F66">
        <f>IF(AND(C66&lt;&gt;"",YEAR(C66)=CalYear,OR(B66=CountryCode,B66="MY")),1,0)</f>
        <v>0</v>
      </c>
      <c r="G66" t="str">
        <f>IF(F66=1,E66*100+COUNTIFS($E$5:E66,E66,$F$5:F66,1),"")</f>
        <v/>
      </c>
      <c r="H66" t="str">
        <f>IF(F66=1,C66,"")</f>
        <v/>
      </c>
    </row>
    <row r="67" spans="2:8" x14ac:dyDescent="0.25">
      <c r="B67" s="37" t="s">
        <v>76</v>
      </c>
      <c r="C67" s="38">
        <v>46471</v>
      </c>
      <c r="D67" s="37" t="s">
        <v>79</v>
      </c>
      <c r="E67">
        <f>IF(C67="","",MONTH(C67))</f>
        <v>3</v>
      </c>
      <c r="F67">
        <f>IF(AND(C67&lt;&gt;"",YEAR(C67)=CalYear,OR(B67=CountryCode,B67="MY")),1,0)</f>
        <v>0</v>
      </c>
      <c r="G67" t="str">
        <f>IF(F67=1,E67*100+COUNTIFS($E$5:E67,E67,$F$5:F67,1),"")</f>
        <v/>
      </c>
      <c r="H67" t="str">
        <f>IF(F67=1,C67,"")</f>
        <v/>
      </c>
    </row>
    <row r="68" spans="2:8" x14ac:dyDescent="0.25">
      <c r="B68" s="37" t="s">
        <v>76</v>
      </c>
      <c r="C68" s="38">
        <v>46472</v>
      </c>
      <c r="D68" s="37" t="s">
        <v>35</v>
      </c>
      <c r="E68">
        <f>IF(C68="","",MONTH(C68))</f>
        <v>3</v>
      </c>
      <c r="F68">
        <f>IF(AND(C68&lt;&gt;"",YEAR(C68)=CalYear,OR(B68=CountryCode,B68="MY")),1,0)</f>
        <v>0</v>
      </c>
      <c r="G68" t="str">
        <f>IF(F68=1,E68*100+COUNTIFS($E$5:E68,E68,$F$5:F68,1),"")</f>
        <v/>
      </c>
      <c r="H68" t="str">
        <f>IF(F68=1,C68,"")</f>
        <v/>
      </c>
    </row>
    <row r="69" spans="2:8" x14ac:dyDescent="0.25">
      <c r="B69" s="37" t="s">
        <v>76</v>
      </c>
      <c r="C69" s="38">
        <v>46474</v>
      </c>
      <c r="D69" s="37" t="s">
        <v>50</v>
      </c>
      <c r="E69">
        <f>IF(C69="","",MONTH(C69))</f>
        <v>3</v>
      </c>
      <c r="F69">
        <f>IF(AND(C69&lt;&gt;"",YEAR(C69)=CalYear,OR(B69=CountryCode,B69="MY")),1,0)</f>
        <v>0</v>
      </c>
      <c r="G69" t="str">
        <f>IF(F69=1,E69*100+COUNTIFS($E$5:E69,E69,$F$5:F69,1),"")</f>
        <v/>
      </c>
      <c r="H69" t="str">
        <f>IF(F69=1,C69,"")</f>
        <v/>
      </c>
    </row>
    <row r="70" spans="2:8" x14ac:dyDescent="0.25">
      <c r="B70" s="37" t="s">
        <v>76</v>
      </c>
      <c r="C70" s="38">
        <v>46508</v>
      </c>
      <c r="D70" s="37" t="s">
        <v>37</v>
      </c>
      <c r="E70">
        <f>IF(C70="","",MONTH(C70))</f>
        <v>5</v>
      </c>
      <c r="F70">
        <f>IF(AND(C70&lt;&gt;"",YEAR(C70)=CalYear,OR(B70=CountryCode,B70="MY")),1,0)</f>
        <v>0</v>
      </c>
      <c r="G70" t="str">
        <f>IF(F70=1,E70*100+COUNTIFS($E$5:E70,E70,$F$5:F70,1),"")</f>
        <v/>
      </c>
      <c r="H70" t="str">
        <f>IF(F70=1,C70,"")</f>
        <v/>
      </c>
    </row>
    <row r="71" spans="2:8" x14ac:dyDescent="0.25">
      <c r="B71" s="37" t="s">
        <v>76</v>
      </c>
      <c r="C71" s="38">
        <v>46517</v>
      </c>
      <c r="D71" s="37" t="s">
        <v>80</v>
      </c>
      <c r="E71">
        <f>IF(C71="","",MONTH(C71))</f>
        <v>5</v>
      </c>
      <c r="F71">
        <f>IF(AND(C71&lt;&gt;"",YEAR(C71)=CalYear,OR(B71=CountryCode,B71="MY")),1,0)</f>
        <v>0</v>
      </c>
      <c r="G71" t="str">
        <f>IF(F71=1,E71*100+COUNTIFS($E$5:E71,E71,$F$5:F71,1),"")</f>
        <v/>
      </c>
      <c r="H71" t="str">
        <f>IF(F71=1,C71,"")</f>
        <v/>
      </c>
    </row>
    <row r="72" spans="2:8" x14ac:dyDescent="0.25">
      <c r="B72" s="37" t="s">
        <v>76</v>
      </c>
      <c r="C72" s="38">
        <v>46538</v>
      </c>
      <c r="D72" s="37" t="s">
        <v>81</v>
      </c>
      <c r="E72">
        <f>IF(C72="","",MONTH(C72))</f>
        <v>5</v>
      </c>
      <c r="F72">
        <f>IF(AND(C72&lt;&gt;"",YEAR(C72)=CalYear,OR(B72=CountryCode,B72="MY")),1,0)</f>
        <v>0</v>
      </c>
      <c r="G72" t="str">
        <f>IF(F72=1,E72*100+COUNTIFS($E$5:E72,E72,$F$5:F72,1),"")</f>
        <v/>
      </c>
      <c r="H72" t="str">
        <f>IF(F72=1,C72,"")</f>
        <v/>
      </c>
    </row>
    <row r="73" spans="2:8" x14ac:dyDescent="0.25">
      <c r="B73" s="37" t="s">
        <v>76</v>
      </c>
      <c r="C73" s="38">
        <v>46545</v>
      </c>
      <c r="D73" s="37" t="s">
        <v>82</v>
      </c>
      <c r="E73">
        <f>IF(C73="","",MONTH(C73))</f>
        <v>6</v>
      </c>
      <c r="F73">
        <f>IF(AND(C73&lt;&gt;"",YEAR(C73)=CalYear,OR(B73=CountryCode,B73="MY")),1,0)</f>
        <v>0</v>
      </c>
      <c r="G73" t="str">
        <f>IF(F73=1,E73*100+COUNTIFS($E$5:E73,E73,$F$5:F73,1),"")</f>
        <v/>
      </c>
      <c r="H73" t="str">
        <f>IF(F73=1,C73,"")</f>
        <v/>
      </c>
    </row>
    <row r="74" spans="2:8" x14ac:dyDescent="0.25">
      <c r="B74" s="37" t="s">
        <v>76</v>
      </c>
      <c r="C74" s="38">
        <v>46573</v>
      </c>
      <c r="D74" s="37" t="s">
        <v>67</v>
      </c>
      <c r="E74">
        <f>IF(C74="","",MONTH(C74))</f>
        <v>7</v>
      </c>
      <c r="F74">
        <f>IF(AND(C74&lt;&gt;"",YEAR(C74)=CalYear,OR(B74=CountryCode,B74="MY")),1,0)</f>
        <v>0</v>
      </c>
      <c r="G74" t="str">
        <f>IF(F74=1,E74*100+COUNTIFS($E$5:E74,E74,$F$5:F74,1),"")</f>
        <v/>
      </c>
      <c r="H74" t="str">
        <f>IF(F74=1,C74,"")</f>
        <v/>
      </c>
    </row>
    <row r="75" spans="2:8" x14ac:dyDescent="0.25">
      <c r="B75" s="37" t="s">
        <v>76</v>
      </c>
      <c r="C75" s="38">
        <v>46580</v>
      </c>
      <c r="D75" s="37" t="s">
        <v>83</v>
      </c>
      <c r="E75">
        <f>IF(C75="","",MONTH(C75))</f>
        <v>7</v>
      </c>
      <c r="F75">
        <f>IF(AND(C75&lt;&gt;"",YEAR(C75)=CalYear,OR(B75=CountryCode,B75="MY")),1,0)</f>
        <v>0</v>
      </c>
      <c r="G75" t="str">
        <f>IF(F75=1,E75*100+COUNTIFS($E$5:E75,E75,$F$5:F75,1),"")</f>
        <v/>
      </c>
      <c r="H75" t="str">
        <f>IF(F75=1,C75,"")</f>
        <v/>
      </c>
    </row>
    <row r="76" spans="2:8" x14ac:dyDescent="0.25">
      <c r="B76" s="37" t="s">
        <v>76</v>
      </c>
      <c r="C76" s="38">
        <v>46588</v>
      </c>
      <c r="D76" s="37" t="s">
        <v>41</v>
      </c>
      <c r="E76">
        <f>IF(C76="","",MONTH(C76))</f>
        <v>7</v>
      </c>
      <c r="F76">
        <f>IF(AND(C76&lt;&gt;"",YEAR(C76)=CalYear,OR(B76=CountryCode,B76="MY")),1,0)</f>
        <v>0</v>
      </c>
      <c r="G76" t="str">
        <f>IF(F76=1,E76*100+COUNTIFS($E$5:E76,E76,$F$5:F76,1),"")</f>
        <v/>
      </c>
      <c r="H76" t="str">
        <f>IF(F76=1,C76,"")</f>
        <v/>
      </c>
    </row>
    <row r="77" spans="2:8" x14ac:dyDescent="0.25">
      <c r="B77" s="37" t="s">
        <v>76</v>
      </c>
      <c r="C77" s="38">
        <v>46606</v>
      </c>
      <c r="D77" s="37" t="s">
        <v>84</v>
      </c>
      <c r="E77">
        <f>IF(C77="","",MONTH(C77))</f>
        <v>8</v>
      </c>
      <c r="F77">
        <f>IF(AND(C77&lt;&gt;"",YEAR(C77)=CalYear,OR(B77=CountryCode,B77="MY")),1,0)</f>
        <v>0</v>
      </c>
      <c r="G77" t="str">
        <f>IF(F77=1,E77*100+COUNTIFS($E$5:E77,E77,$F$5:F77,1),"")</f>
        <v/>
      </c>
      <c r="H77" t="str">
        <f>IF(F77=1,C77,"")</f>
        <v/>
      </c>
    </row>
    <row r="78" spans="2:8" x14ac:dyDescent="0.25">
      <c r="B78" s="37" t="s">
        <v>76</v>
      </c>
      <c r="C78" s="38">
        <v>46615</v>
      </c>
      <c r="D78" s="37" t="s">
        <v>69</v>
      </c>
      <c r="E78">
        <f>IF(C78="","",MONTH(C78))</f>
        <v>8</v>
      </c>
      <c r="F78">
        <f>IF(AND(C78&lt;&gt;"",YEAR(C78)=CalYear,OR(B78=CountryCode,B78="MY")),1,0)</f>
        <v>0</v>
      </c>
      <c r="G78" t="str">
        <f>IF(F78=1,E78*100+COUNTIFS($E$5:E78,E78,$F$5:F78,1),"")</f>
        <v/>
      </c>
      <c r="H78" t="str">
        <f>IF(F78=1,C78,"")</f>
        <v/>
      </c>
    </row>
    <row r="79" spans="2:8" x14ac:dyDescent="0.25">
      <c r="B79" s="37" t="s">
        <v>76</v>
      </c>
      <c r="C79" s="38">
        <v>46678</v>
      </c>
      <c r="D79" s="37" t="s">
        <v>72</v>
      </c>
      <c r="E79">
        <f>IF(C79="","",MONTH(C79))</f>
        <v>10</v>
      </c>
      <c r="F79">
        <f>IF(AND(C79&lt;&gt;"",YEAR(C79)=CalYear,OR(B79=CountryCode,B79="MY")),1,0)</f>
        <v>0</v>
      </c>
      <c r="G79" t="str">
        <f>IF(F79=1,E79*100+COUNTIFS($E$5:E79,E79,$F$5:F79,1),"")</f>
        <v/>
      </c>
      <c r="H79" t="str">
        <f>IF(F79=1,C79,"")</f>
        <v/>
      </c>
    </row>
    <row r="80" spans="2:8" x14ac:dyDescent="0.25">
      <c r="B80" s="37" t="s">
        <v>76</v>
      </c>
      <c r="C80" s="38">
        <v>46692</v>
      </c>
      <c r="D80" s="37" t="s">
        <v>74</v>
      </c>
      <c r="E80">
        <f>IF(C80="","",MONTH(C80))</f>
        <v>11</v>
      </c>
      <c r="F80">
        <f>IF(AND(C80&lt;&gt;"",YEAR(C80)=CalYear,OR(B80=CountryCode,B80="MY")),1,0)</f>
        <v>0</v>
      </c>
      <c r="G80" t="str">
        <f>IF(F80=1,E80*100+COUNTIFS($E$5:E80,E80,$F$5:F80,1),"")</f>
        <v/>
      </c>
      <c r="H80" t="str">
        <f>IF(F80=1,C80,"")</f>
        <v/>
      </c>
    </row>
    <row r="81" spans="2:8" x14ac:dyDescent="0.25">
      <c r="B81" s="37" t="s">
        <v>76</v>
      </c>
      <c r="C81" s="38">
        <v>46706</v>
      </c>
      <c r="D81" s="37" t="s">
        <v>85</v>
      </c>
      <c r="E81">
        <f>IF(C81="","",MONTH(C81))</f>
        <v>11</v>
      </c>
      <c r="F81">
        <f>IF(AND(C81&lt;&gt;"",YEAR(C81)=CalYear,OR(B81=CountryCode,B81="MY")),1,0)</f>
        <v>0</v>
      </c>
      <c r="G81" t="str">
        <f>IF(F81=1,E81*100+COUNTIFS($E$5:E81,E81,$F$5:F81,1),"")</f>
        <v/>
      </c>
      <c r="H81" t="str">
        <f>IF(F81=1,C81,"")</f>
        <v/>
      </c>
    </row>
    <row r="82" spans="2:8" x14ac:dyDescent="0.25">
      <c r="B82" s="37" t="s">
        <v>76</v>
      </c>
      <c r="C82" s="38">
        <v>46729</v>
      </c>
      <c r="D82" s="37" t="s">
        <v>75</v>
      </c>
      <c r="E82">
        <f>IF(C82="","",MONTH(C82))</f>
        <v>12</v>
      </c>
      <c r="F82">
        <f>IF(AND(C82&lt;&gt;"",YEAR(C82)=CalYear,OR(B82=CountryCode,B82="MY")),1,0)</f>
        <v>0</v>
      </c>
      <c r="G82" t="str">
        <f>IF(F82=1,E82*100+COUNTIFS($E$5:E82,E82,$F$5:F82,1),"")</f>
        <v/>
      </c>
      <c r="H82" t="str">
        <f>IF(F82=1,C82,"")</f>
        <v/>
      </c>
    </row>
    <row r="83" spans="2:8" x14ac:dyDescent="0.25">
      <c r="B83" s="37" t="s">
        <v>76</v>
      </c>
      <c r="C83" s="38">
        <v>46746</v>
      </c>
      <c r="D83" s="37" t="s">
        <v>46</v>
      </c>
      <c r="E83">
        <f>IF(C83="","",MONTH(C83))</f>
        <v>12</v>
      </c>
      <c r="F83">
        <f>IF(AND(C83&lt;&gt;"",YEAR(C83)=CalYear,OR(B83=CountryCode,B83="MY")),1,0)</f>
        <v>0</v>
      </c>
      <c r="G83" t="str">
        <f>IF(F83=1,E83*100+COUNTIFS($E$5:E83,E83,$F$5:F83,1),"")</f>
        <v/>
      </c>
      <c r="H83" t="str">
        <f>IF(F83=1,C83,"")</f>
        <v/>
      </c>
    </row>
    <row r="84" spans="2:8" x14ac:dyDescent="0.25">
      <c r="B84" s="37" t="s">
        <v>86</v>
      </c>
      <c r="C84" s="38">
        <v>46388</v>
      </c>
      <c r="D84" s="37" t="s">
        <v>31</v>
      </c>
      <c r="E84">
        <f>IF(C84="","",MONTH(C84))</f>
        <v>1</v>
      </c>
      <c r="F84">
        <f>IF(AND(C84&lt;&gt;"",YEAR(C84)=CalYear,OR(B84=CountryCode,B84="MY")),1,0)</f>
        <v>0</v>
      </c>
      <c r="G84" t="str">
        <f>IF(F84=1,E84*100+COUNTIFS($E$5:E84,E84,$F$5:F84,1),"")</f>
        <v/>
      </c>
      <c r="H84" t="str">
        <f>IF(F84=1,C84,"")</f>
        <v/>
      </c>
    </row>
    <row r="85" spans="2:8" x14ac:dyDescent="0.25">
      <c r="B85" s="37" t="s">
        <v>86</v>
      </c>
      <c r="C85" s="38">
        <v>46472</v>
      </c>
      <c r="D85" s="37" t="s">
        <v>35</v>
      </c>
      <c r="E85">
        <f>IF(C85="","",MONTH(C85))</f>
        <v>3</v>
      </c>
      <c r="F85">
        <f>IF(AND(C85&lt;&gt;"",YEAR(C85)=CalYear,OR(B85=CountryCode,B85="MY")),1,0)</f>
        <v>0</v>
      </c>
      <c r="G85" t="str">
        <f>IF(F85=1,E85*100+COUNTIFS($E$5:E85,E85,$F$5:F85,1),"")</f>
        <v/>
      </c>
      <c r="H85" t="str">
        <f>IF(F85=1,C85,"")</f>
        <v/>
      </c>
    </row>
    <row r="86" spans="2:8" x14ac:dyDescent="0.25">
      <c r="B86" s="37" t="s">
        <v>86</v>
      </c>
      <c r="C86" s="38">
        <v>46475</v>
      </c>
      <c r="D86" s="37" t="s">
        <v>51</v>
      </c>
      <c r="E86">
        <f>IF(C86="","",MONTH(C86))</f>
        <v>3</v>
      </c>
      <c r="F86">
        <f>IF(AND(C86&lt;&gt;"",YEAR(C86)=CalYear,OR(B86=CountryCode,B86="MY")),1,0)</f>
        <v>0</v>
      </c>
      <c r="G86" t="str">
        <f>IF(F86=1,E86*100+COUNTIFS($E$5:E86,E86,$F$5:F86,1),"")</f>
        <v/>
      </c>
      <c r="H86" t="str">
        <f>IF(F86=1,C86,"")</f>
        <v/>
      </c>
    </row>
    <row r="87" spans="2:8" x14ac:dyDescent="0.25">
      <c r="B87" s="37" t="s">
        <v>86</v>
      </c>
      <c r="C87" s="38">
        <v>46508</v>
      </c>
      <c r="D87" s="37" t="s">
        <v>37</v>
      </c>
      <c r="E87">
        <f>IF(C87="","",MONTH(C87))</f>
        <v>5</v>
      </c>
      <c r="F87">
        <f>IF(AND(C87&lt;&gt;"",YEAR(C87)=CalYear,OR(B87=CountryCode,B87="MY")),1,0)</f>
        <v>0</v>
      </c>
      <c r="G87" t="str">
        <f>IF(F87=1,E87*100+COUNTIFS($E$5:E87,E87,$F$5:F87,1),"")</f>
        <v/>
      </c>
      <c r="H87" t="str">
        <f>IF(F87=1,C87,"")</f>
        <v/>
      </c>
    </row>
    <row r="88" spans="2:8" x14ac:dyDescent="0.25">
      <c r="B88" s="37" t="s">
        <v>86</v>
      </c>
      <c r="C88" s="38">
        <v>46513</v>
      </c>
      <c r="D88" s="37" t="s">
        <v>80</v>
      </c>
      <c r="E88">
        <f>IF(C88="","",MONTH(C88))</f>
        <v>5</v>
      </c>
      <c r="F88">
        <f>IF(AND(C88&lt;&gt;"",YEAR(C88)=CalYear,OR(B88=CountryCode,B88="MY")),1,0)</f>
        <v>0</v>
      </c>
      <c r="G88" t="str">
        <f>IF(F88=1,E88*100+COUNTIFS($E$5:E88,E88,$F$5:F88,1),"")</f>
        <v/>
      </c>
      <c r="H88" t="str">
        <f>IF(F88=1,C88,"")</f>
        <v/>
      </c>
    </row>
    <row r="89" spans="2:8" x14ac:dyDescent="0.25">
      <c r="B89" s="37" t="s">
        <v>86</v>
      </c>
      <c r="C89" s="38">
        <v>46524</v>
      </c>
      <c r="D89" s="37" t="s">
        <v>87</v>
      </c>
      <c r="E89">
        <f>IF(C89="","",MONTH(C89))</f>
        <v>5</v>
      </c>
      <c r="F89">
        <f>IF(AND(C89&lt;&gt;"",YEAR(C89)=CalYear,OR(B89=CountryCode,B89="MY")),1,0)</f>
        <v>0</v>
      </c>
      <c r="G89" t="str">
        <f>IF(F89=1,E89*100+COUNTIFS($E$5:E89,E89,$F$5:F89,1),"")</f>
        <v/>
      </c>
      <c r="H89" t="str">
        <f>IF(F89=1,C89,"")</f>
        <v/>
      </c>
    </row>
    <row r="90" spans="2:8" x14ac:dyDescent="0.25">
      <c r="B90" s="37" t="s">
        <v>86</v>
      </c>
      <c r="C90" s="38">
        <v>46663</v>
      </c>
      <c r="D90" s="37" t="s">
        <v>88</v>
      </c>
      <c r="E90">
        <f>IF(C90="","",MONTH(C90))</f>
        <v>10</v>
      </c>
      <c r="F90">
        <f>IF(AND(C90&lt;&gt;"",YEAR(C90)=CalYear,OR(B90=CountryCode,B90="MY")),1,0)</f>
        <v>0</v>
      </c>
      <c r="G90" t="str">
        <f>IF(F90=1,E90*100+COUNTIFS($E$5:E90,E90,$F$5:F90,1),"")</f>
        <v/>
      </c>
      <c r="H90" t="str">
        <f>IF(F90=1,C90,"")</f>
        <v/>
      </c>
    </row>
    <row r="91" spans="2:8" x14ac:dyDescent="0.25">
      <c r="B91" s="37" t="s">
        <v>86</v>
      </c>
      <c r="C91" s="38">
        <v>46746</v>
      </c>
      <c r="D91" s="37" t="s">
        <v>46</v>
      </c>
      <c r="E91">
        <f>IF(C91="","",MONTH(C91))</f>
        <v>12</v>
      </c>
      <c r="F91">
        <f>IF(AND(C91&lt;&gt;"",YEAR(C91)=CalYear,OR(B91=CountryCode,B91="MY")),1,0)</f>
        <v>0</v>
      </c>
      <c r="G91" t="str">
        <f>IF(F91=1,E91*100+COUNTIFS($E$5:E91,E91,$F$5:F91,1),"")</f>
        <v/>
      </c>
      <c r="H91" t="str">
        <f>IF(F91=1,C91,"")</f>
        <v/>
      </c>
    </row>
    <row r="92" spans="2:8" x14ac:dyDescent="0.25">
      <c r="B92" s="37" t="s">
        <v>86</v>
      </c>
      <c r="C92" s="38">
        <v>46747</v>
      </c>
      <c r="D92" s="37" t="s">
        <v>53</v>
      </c>
      <c r="E92">
        <f>IF(C92="","",MONTH(C92))</f>
        <v>12</v>
      </c>
      <c r="F92">
        <f>IF(AND(C92&lt;&gt;"",YEAR(C92)=CalYear,OR(B92=CountryCode,B92="MY")),1,0)</f>
        <v>0</v>
      </c>
      <c r="G92" t="str">
        <f>IF(F92=1,E92*100+COUNTIFS($E$5:E92,E92,$F$5:F92,1),"")</f>
        <v/>
      </c>
      <c r="H92" t="str">
        <f>IF(F92=1,C92,"")</f>
        <v/>
      </c>
    </row>
    <row r="93" spans="2:8" x14ac:dyDescent="0.25">
      <c r="B93" s="37" t="s">
        <v>89</v>
      </c>
      <c r="C93" s="38">
        <v>46388</v>
      </c>
      <c r="D93" s="37" t="s">
        <v>31</v>
      </c>
      <c r="E93">
        <f>IF(C93="","",MONTH(C93))</f>
        <v>1</v>
      </c>
      <c r="F93">
        <f>IF(AND(C93&lt;&gt;"",YEAR(C93)=CalYear,OR(B93=CountryCode,B93="MY")),1,0)</f>
        <v>0</v>
      </c>
      <c r="G93" t="str">
        <f>IF(F93=1,E93*100+COUNTIFS($E$5:E93,E93,$F$5:F93,1),"")</f>
        <v/>
      </c>
      <c r="H93" t="str">
        <f>IF(F93=1,C93,"")</f>
        <v/>
      </c>
    </row>
    <row r="94" spans="2:8" x14ac:dyDescent="0.25">
      <c r="B94" s="37" t="s">
        <v>89</v>
      </c>
      <c r="C94" s="38">
        <v>46426</v>
      </c>
      <c r="D94" s="37" t="s">
        <v>90</v>
      </c>
      <c r="E94">
        <f>IF(C94="","",MONTH(C94))</f>
        <v>2</v>
      </c>
      <c r="F94">
        <f>IF(AND(C94&lt;&gt;"",YEAR(C94)=CalYear,OR(B94=CountryCode,B94="MY")),1,0)</f>
        <v>0</v>
      </c>
      <c r="G94" t="str">
        <f>IF(F94=1,E94*100+COUNTIFS($E$5:E94,E94,$F$5:F94,1),"")</f>
        <v/>
      </c>
      <c r="H94" t="str">
        <f>IF(F94=1,C94,"")</f>
        <v/>
      </c>
    </row>
    <row r="95" spans="2:8" x14ac:dyDescent="0.25">
      <c r="B95" s="37" t="s">
        <v>89</v>
      </c>
      <c r="C95" s="38">
        <v>46427</v>
      </c>
      <c r="D95" s="37" t="s">
        <v>33</v>
      </c>
      <c r="E95">
        <f>IF(C95="","",MONTH(C95))</f>
        <v>2</v>
      </c>
      <c r="F95">
        <f>IF(AND(C95&lt;&gt;"",YEAR(C95)=CalYear,OR(B95=CountryCode,B95="MY")),1,0)</f>
        <v>0</v>
      </c>
      <c r="G95" t="str">
        <f>IF(F95=1,E95*100+COUNTIFS($E$5:E95,E95,$F$5:F95,1),"")</f>
        <v/>
      </c>
      <c r="H95" t="str">
        <f>IF(F95=1,C95,"")</f>
        <v/>
      </c>
    </row>
    <row r="96" spans="2:8" x14ac:dyDescent="0.25">
      <c r="B96" s="37" t="s">
        <v>89</v>
      </c>
      <c r="C96" s="38">
        <v>46471</v>
      </c>
      <c r="D96" s="37" t="s">
        <v>79</v>
      </c>
      <c r="E96">
        <f>IF(C96="","",MONTH(C96))</f>
        <v>3</v>
      </c>
      <c r="F96">
        <f>IF(AND(C96&lt;&gt;"",YEAR(C96)=CalYear,OR(B96=CountryCode,B96="MY")),1,0)</f>
        <v>0</v>
      </c>
      <c r="G96" t="str">
        <f>IF(F96=1,E96*100+COUNTIFS($E$5:E96,E96,$F$5:F96,1),"")</f>
        <v/>
      </c>
      <c r="H96" t="str">
        <f>IF(F96=1,C96,"")</f>
        <v/>
      </c>
    </row>
    <row r="97" spans="2:8" x14ac:dyDescent="0.25">
      <c r="B97" s="37" t="s">
        <v>89</v>
      </c>
      <c r="C97" s="38">
        <v>46472</v>
      </c>
      <c r="D97" s="37" t="s">
        <v>35</v>
      </c>
      <c r="E97">
        <f>IF(C97="","",MONTH(C97))</f>
        <v>3</v>
      </c>
      <c r="F97">
        <f>IF(AND(C97&lt;&gt;"",YEAR(C97)=CalYear,OR(B97=CountryCode,B97="MY")),1,0)</f>
        <v>0</v>
      </c>
      <c r="G97" t="str">
        <f>IF(F97=1,E97*100+COUNTIFS($E$5:E97,E97,$F$5:F97,1),"")</f>
        <v/>
      </c>
      <c r="H97" t="str">
        <f>IF(F97=1,C97,"")</f>
        <v/>
      </c>
    </row>
    <row r="98" spans="2:8" x14ac:dyDescent="0.25">
      <c r="B98" s="37" t="s">
        <v>89</v>
      </c>
      <c r="C98" s="38">
        <v>46508</v>
      </c>
      <c r="D98" s="37" t="s">
        <v>37</v>
      </c>
      <c r="E98">
        <f>IF(C98="","",MONTH(C98))</f>
        <v>5</v>
      </c>
      <c r="F98">
        <f>IF(AND(C98&lt;&gt;"",YEAR(C98)=CalYear,OR(B98=CountryCode,B98="MY")),1,0)</f>
        <v>0</v>
      </c>
      <c r="G98" t="str">
        <f>IF(F98=1,E98*100+COUNTIFS($E$5:E98,E98,$F$5:F98,1),"")</f>
        <v/>
      </c>
      <c r="H98" t="str">
        <f>IF(F98=1,C98,"")</f>
        <v/>
      </c>
    </row>
    <row r="99" spans="2:8" x14ac:dyDescent="0.25">
      <c r="B99" s="37" t="s">
        <v>89</v>
      </c>
      <c r="C99" s="38">
        <v>46531</v>
      </c>
      <c r="D99" s="37" t="s">
        <v>91</v>
      </c>
      <c r="E99">
        <f>IF(C99="","",MONTH(C99))</f>
        <v>5</v>
      </c>
      <c r="F99">
        <f>IF(AND(C99&lt;&gt;"",YEAR(C99)=CalYear,OR(B99=CountryCode,B99="MY")),1,0)</f>
        <v>0</v>
      </c>
      <c r="G99" t="str">
        <f>IF(F99=1,E99*100+COUNTIFS($E$5:E99,E99,$F$5:F99,1),"")</f>
        <v/>
      </c>
      <c r="H99" t="str">
        <f>IF(F99=1,C99,"")</f>
        <v/>
      </c>
    </row>
    <row r="100" spans="2:8" x14ac:dyDescent="0.25">
      <c r="B100" s="37" t="s">
        <v>89</v>
      </c>
      <c r="C100" s="38">
        <v>46609</v>
      </c>
      <c r="D100" s="37" t="s">
        <v>92</v>
      </c>
      <c r="E100">
        <f>IF(C100="","",MONTH(C100))</f>
        <v>8</v>
      </c>
      <c r="F100">
        <f>IF(AND(C100&lt;&gt;"",YEAR(C100)=CalYear,OR(B100=CountryCode,B100="MY")),1,0)</f>
        <v>0</v>
      </c>
      <c r="G100" t="str">
        <f>IF(F100=1,E100*100+COUNTIFS($E$5:E100,E100,$F$5:F100,1),"")</f>
        <v/>
      </c>
      <c r="H100" t="str">
        <f>IF(F100=1,C100,"")</f>
        <v/>
      </c>
    </row>
    <row r="101" spans="2:8" x14ac:dyDescent="0.25">
      <c r="B101" s="37" t="s">
        <v>89</v>
      </c>
      <c r="C101" s="38">
        <v>46640</v>
      </c>
      <c r="D101" s="37" t="s">
        <v>93</v>
      </c>
      <c r="E101">
        <f>IF(C101="","",MONTH(C101))</f>
        <v>9</v>
      </c>
      <c r="F101">
        <f>IF(AND(C101&lt;&gt;"",YEAR(C101)=CalYear,OR(B101=CountryCode,B101="MY")),1,0)</f>
        <v>0</v>
      </c>
      <c r="G101" t="str">
        <f>IF(F101=1,E101*100+COUNTIFS($E$5:E101,E101,$F$5:F101,1),"")</f>
        <v/>
      </c>
      <c r="H101" t="str">
        <f>IF(F101=1,C101,"")</f>
        <v/>
      </c>
    </row>
    <row r="102" spans="2:8" x14ac:dyDescent="0.25">
      <c r="B102" s="37" t="s">
        <v>89</v>
      </c>
      <c r="C102" s="38">
        <v>46693</v>
      </c>
      <c r="D102" s="37" t="s">
        <v>59</v>
      </c>
      <c r="E102">
        <f>IF(C102="","",MONTH(C102))</f>
        <v>11</v>
      </c>
      <c r="F102">
        <f>IF(AND(C102&lt;&gt;"",YEAR(C102)=CalYear,OR(B102=CountryCode,B102="MY")),1,0)</f>
        <v>0</v>
      </c>
      <c r="G102" t="str">
        <f>IF(F102=1,E102*100+COUNTIFS($E$5:E102,E102,$F$5:F102,1),"")</f>
        <v/>
      </c>
      <c r="H102" t="str">
        <f>IF(F102=1,C102,"")</f>
        <v/>
      </c>
    </row>
    <row r="103" spans="2:8" x14ac:dyDescent="0.25">
      <c r="B103" s="37" t="s">
        <v>89</v>
      </c>
      <c r="C103" s="38">
        <v>46694</v>
      </c>
      <c r="D103" s="37" t="s">
        <v>94</v>
      </c>
      <c r="E103">
        <f>IF(C103="","",MONTH(C103))</f>
        <v>11</v>
      </c>
      <c r="F103">
        <f>IF(AND(C103&lt;&gt;"",YEAR(C103)=CalYear,OR(B103=CountryCode,B103="MY")),1,0)</f>
        <v>0</v>
      </c>
      <c r="G103" t="str">
        <f>IF(F103=1,E103*100+COUNTIFS($E$5:E103,E103,$F$5:F103,1),"")</f>
        <v/>
      </c>
      <c r="H103" t="str">
        <f>IF(F103=1,C103,"")</f>
        <v/>
      </c>
    </row>
    <row r="104" spans="2:8" x14ac:dyDescent="0.25">
      <c r="B104" s="37" t="s">
        <v>89</v>
      </c>
      <c r="C104" s="38">
        <v>46746</v>
      </c>
      <c r="D104" s="37" t="s">
        <v>46</v>
      </c>
      <c r="E104">
        <f>IF(C104="","",MONTH(C104))</f>
        <v>12</v>
      </c>
      <c r="F104">
        <f>IF(AND(C104&lt;&gt;"",YEAR(C104)=CalYear,OR(B104=CountryCode,B104="MY")),1,0)</f>
        <v>0</v>
      </c>
      <c r="G104" t="str">
        <f>IF(F104=1,E104*100+COUNTIFS($E$5:E104,E104,$F$5:F104,1),"")</f>
        <v/>
      </c>
      <c r="H104" t="str">
        <f>IF(F104=1,C104,"")</f>
        <v/>
      </c>
    </row>
    <row r="105" spans="2:8" x14ac:dyDescent="0.25">
      <c r="B105" s="37" t="s">
        <v>95</v>
      </c>
      <c r="C105" s="38">
        <v>46388</v>
      </c>
      <c r="D105" s="37" t="s">
        <v>31</v>
      </c>
      <c r="E105">
        <f>IF(C105="","",MONTH(C105))</f>
        <v>1</v>
      </c>
      <c r="F105">
        <f>IF(AND(C105&lt;&gt;"",YEAR(C105)=CalYear,OR(B105=CountryCode,B105="MY")),1,0)</f>
        <v>0</v>
      </c>
      <c r="G105" t="str">
        <f>IF(F105=1,E105*100+COUNTIFS($E$5:E105,E105,$F$5:F105,1),"")</f>
        <v/>
      </c>
      <c r="H105" t="str">
        <f>IF(F105=1,C105,"")</f>
        <v/>
      </c>
    </row>
    <row r="106" spans="2:8" x14ac:dyDescent="0.25">
      <c r="B106" s="37" t="s">
        <v>95</v>
      </c>
      <c r="C106" s="38">
        <v>46393</v>
      </c>
      <c r="D106" s="37" t="s">
        <v>77</v>
      </c>
      <c r="E106">
        <f>IF(C106="","",MONTH(C106))</f>
        <v>1</v>
      </c>
      <c r="F106">
        <f>IF(AND(C106&lt;&gt;"",YEAR(C106)=CalYear,OR(B106=CountryCode,B106="MY")),1,0)</f>
        <v>0</v>
      </c>
      <c r="G106" t="str">
        <f>IF(F106=1,E106*100+COUNTIFS($E$5:E106,E106,$F$5:F106,1),"")</f>
        <v/>
      </c>
      <c r="H106" t="str">
        <f>IF(F106=1,C106,"")</f>
        <v/>
      </c>
    </row>
    <row r="107" spans="2:8" x14ac:dyDescent="0.25">
      <c r="B107" s="37" t="s">
        <v>95</v>
      </c>
      <c r="C107" s="38">
        <v>46472</v>
      </c>
      <c r="D107" s="37" t="s">
        <v>35</v>
      </c>
      <c r="E107">
        <f>IF(C107="","",MONTH(C107))</f>
        <v>3</v>
      </c>
      <c r="F107">
        <f>IF(AND(C107&lt;&gt;"",YEAR(C107)=CalYear,OR(B107=CountryCode,B107="MY")),1,0)</f>
        <v>0</v>
      </c>
      <c r="G107" t="str">
        <f>IF(F107=1,E107*100+COUNTIFS($E$5:E107,E107,$F$5:F107,1),"")</f>
        <v/>
      </c>
      <c r="H107" t="str">
        <f>IF(F107=1,C107,"")</f>
        <v/>
      </c>
    </row>
    <row r="108" spans="2:8" x14ac:dyDescent="0.25">
      <c r="B108" s="37" t="s">
        <v>95</v>
      </c>
      <c r="C108" s="38">
        <v>46508</v>
      </c>
      <c r="D108" s="37" t="s">
        <v>37</v>
      </c>
      <c r="E108">
        <f>IF(C108="","",MONTH(C108))</f>
        <v>5</v>
      </c>
      <c r="F108">
        <f>IF(AND(C108&lt;&gt;"",YEAR(C108)=CalYear,OR(B108=CountryCode,B108="MY")),1,0)</f>
        <v>0</v>
      </c>
      <c r="G108" t="str">
        <f>IF(F108=1,E108*100+COUNTIFS($E$5:E108,E108,$F$5:F108,1),"")</f>
        <v/>
      </c>
      <c r="H108" t="str">
        <f>IF(F108=1,C108,"")</f>
        <v/>
      </c>
    </row>
    <row r="109" spans="2:8" x14ac:dyDescent="0.25">
      <c r="B109" s="37" t="s">
        <v>95</v>
      </c>
      <c r="C109" s="38">
        <v>46614</v>
      </c>
      <c r="D109" s="37" t="s">
        <v>69</v>
      </c>
      <c r="E109">
        <f>IF(C109="","",MONTH(C109))</f>
        <v>8</v>
      </c>
      <c r="F109">
        <f>IF(AND(C109&lt;&gt;"",YEAR(C109)=CalYear,OR(B109=CountryCode,B109="MY")),1,0)</f>
        <v>0</v>
      </c>
      <c r="G109" t="str">
        <f>IF(F109=1,E109*100+COUNTIFS($E$5:E109,E109,$F$5:F109,1),"")</f>
        <v/>
      </c>
      <c r="H109" t="str">
        <f>IF(F109=1,C109,"")</f>
        <v/>
      </c>
    </row>
    <row r="110" spans="2:8" x14ac:dyDescent="0.25">
      <c r="B110" s="37" t="s">
        <v>95</v>
      </c>
      <c r="C110" s="38">
        <v>46672</v>
      </c>
      <c r="D110" s="37" t="s">
        <v>96</v>
      </c>
      <c r="E110">
        <f>IF(C110="","",MONTH(C110))</f>
        <v>10</v>
      </c>
      <c r="F110">
        <f>IF(AND(C110&lt;&gt;"",YEAR(C110)=CalYear,OR(B110=CountryCode,B110="MY")),1,0)</f>
        <v>0</v>
      </c>
      <c r="G110" t="str">
        <f>IF(F110=1,E110*100+COUNTIFS($E$5:E110,E110,$F$5:F110,1),"")</f>
        <v/>
      </c>
      <c r="H110" t="str">
        <f>IF(F110=1,C110,"")</f>
        <v/>
      </c>
    </row>
    <row r="111" spans="2:8" x14ac:dyDescent="0.25">
      <c r="B111" s="37" t="s">
        <v>95</v>
      </c>
      <c r="C111" s="38">
        <v>46692</v>
      </c>
      <c r="D111" s="37" t="s">
        <v>74</v>
      </c>
      <c r="E111">
        <f>IF(C111="","",MONTH(C111))</f>
        <v>11</v>
      </c>
      <c r="F111">
        <f>IF(AND(C111&lt;&gt;"",YEAR(C111)=CalYear,OR(B111=CountryCode,B111="MY")),1,0)</f>
        <v>0</v>
      </c>
      <c r="G111" t="str">
        <f>IF(F111=1,E111*100+COUNTIFS($E$5:E111,E111,$F$5:F111,1),"")</f>
        <v/>
      </c>
      <c r="H111" t="str">
        <f>IF(F111=1,C111,"")</f>
        <v/>
      </c>
    </row>
    <row r="112" spans="2:8" x14ac:dyDescent="0.25">
      <c r="B112" s="37" t="s">
        <v>95</v>
      </c>
      <c r="C112" s="38">
        <v>46727</v>
      </c>
      <c r="D112" s="37" t="s">
        <v>97</v>
      </c>
      <c r="E112">
        <f>IF(C112="","",MONTH(C112))</f>
        <v>12</v>
      </c>
      <c r="F112">
        <f>IF(AND(C112&lt;&gt;"",YEAR(C112)=CalYear,OR(B112=CountryCode,B112="MY")),1,0)</f>
        <v>0</v>
      </c>
      <c r="G112" t="str">
        <f>IF(F112=1,E112*100+COUNTIFS($E$5:E112,E112,$F$5:F112,1),"")</f>
        <v/>
      </c>
      <c r="H112" t="str">
        <f>IF(F112=1,C112,"")</f>
        <v/>
      </c>
    </row>
    <row r="113" spans="2:8" x14ac:dyDescent="0.25">
      <c r="B113" s="37" t="s">
        <v>95</v>
      </c>
      <c r="C113" s="38">
        <v>46729</v>
      </c>
      <c r="D113" s="37" t="s">
        <v>75</v>
      </c>
      <c r="E113">
        <f>IF(C113="","",MONTH(C113))</f>
        <v>12</v>
      </c>
      <c r="F113">
        <f>IF(AND(C113&lt;&gt;"",YEAR(C113)=CalYear,OR(B113=CountryCode,B113="MY")),1,0)</f>
        <v>0</v>
      </c>
      <c r="G113" t="str">
        <f>IF(F113=1,E113*100+COUNTIFS($E$5:E113,E113,$F$5:F113,1),"")</f>
        <v/>
      </c>
      <c r="H113" t="str">
        <f>IF(F113=1,C113,"")</f>
        <v/>
      </c>
    </row>
    <row r="114" spans="2:8" x14ac:dyDescent="0.25">
      <c r="B114" s="37" t="s">
        <v>95</v>
      </c>
      <c r="C114" s="38">
        <v>46746</v>
      </c>
      <c r="D114" s="37" t="s">
        <v>46</v>
      </c>
      <c r="E114">
        <f>IF(C114="","",MONTH(C114))</f>
        <v>12</v>
      </c>
      <c r="F114">
        <f>IF(AND(C114&lt;&gt;"",YEAR(C114)=CalYear,OR(B114=CountryCode,B114="MY")),1,0)</f>
        <v>0</v>
      </c>
      <c r="G114" t="str">
        <f>IF(F114=1,E114*100+COUNTIFS($E$5:E114,E114,$F$5:F114,1),"")</f>
        <v/>
      </c>
      <c r="H114" t="str">
        <f>IF(F114=1,C114,"")</f>
        <v/>
      </c>
    </row>
    <row r="115" spans="2:8" x14ac:dyDescent="0.25">
      <c r="B115" s="37" t="s">
        <v>98</v>
      </c>
      <c r="C115" s="38">
        <v>46388</v>
      </c>
      <c r="D115" s="37" t="s">
        <v>31</v>
      </c>
      <c r="E115">
        <f>IF(C115="","",MONTH(C115))</f>
        <v>1</v>
      </c>
      <c r="F115">
        <f>IF(AND(C115&lt;&gt;"",YEAR(C115)=CalYear,OR(B115=CountryCode,B115="MY")),1,0)</f>
        <v>0</v>
      </c>
      <c r="G115" t="str">
        <f>IF(F115=1,E115*100+COUNTIFS($E$5:E115,E115,$F$5:F115,1),"")</f>
        <v/>
      </c>
      <c r="H115" t="str">
        <f>IF(F115=1,C115,"")</f>
        <v/>
      </c>
    </row>
    <row r="116" spans="2:8" x14ac:dyDescent="0.25">
      <c r="B116" s="37" t="s">
        <v>98</v>
      </c>
      <c r="C116" s="38">
        <v>46475</v>
      </c>
      <c r="D116" s="37" t="s">
        <v>51</v>
      </c>
      <c r="E116">
        <f>IF(C116="","",MONTH(C116))</f>
        <v>3</v>
      </c>
      <c r="F116">
        <f>IF(AND(C116&lt;&gt;"",YEAR(C116)=CalYear,OR(B116=CountryCode,B116="MY")),1,0)</f>
        <v>0</v>
      </c>
      <c r="G116" t="str">
        <f>IF(F116=1,E116*100+COUNTIFS($E$5:E116,E116,$F$5:F116,1),"")</f>
        <v/>
      </c>
      <c r="H116" t="str">
        <f>IF(F116=1,C116,"")</f>
        <v/>
      </c>
    </row>
    <row r="117" spans="2:8" x14ac:dyDescent="0.25">
      <c r="B117" s="37" t="s">
        <v>98</v>
      </c>
      <c r="C117" s="38">
        <v>46508</v>
      </c>
      <c r="D117" s="37" t="s">
        <v>37</v>
      </c>
      <c r="E117">
        <f>IF(C117="","",MONTH(C117))</f>
        <v>5</v>
      </c>
      <c r="F117">
        <f>IF(AND(C117&lt;&gt;"",YEAR(C117)=CalYear,OR(B117=CountryCode,B117="MY")),1,0)</f>
        <v>0</v>
      </c>
      <c r="G117" t="str">
        <f>IF(F117=1,E117*100+COUNTIFS($E$5:E117,E117,$F$5:F117,1),"")</f>
        <v/>
      </c>
      <c r="H117" t="str">
        <f>IF(F117=1,C117,"")</f>
        <v/>
      </c>
    </row>
    <row r="118" spans="2:8" x14ac:dyDescent="0.25">
      <c r="B118" s="37" t="s">
        <v>98</v>
      </c>
      <c r="C118" s="38">
        <v>46513</v>
      </c>
      <c r="D118" s="37" t="s">
        <v>80</v>
      </c>
      <c r="E118">
        <f>IF(C118="","",MONTH(C118))</f>
        <v>5</v>
      </c>
      <c r="F118">
        <f>IF(AND(C118&lt;&gt;"",YEAR(C118)=CalYear,OR(B118=CountryCode,B118="MY")),1,0)</f>
        <v>0</v>
      </c>
      <c r="G118" t="str">
        <f>IF(F118=1,E118*100+COUNTIFS($E$5:E118,E118,$F$5:F118,1),"")</f>
        <v/>
      </c>
      <c r="H118" t="str">
        <f>IF(F118=1,C118,"")</f>
        <v/>
      </c>
    </row>
    <row r="119" spans="2:8" x14ac:dyDescent="0.25">
      <c r="B119" s="37" t="s">
        <v>98</v>
      </c>
      <c r="C119" s="38">
        <v>46515</v>
      </c>
      <c r="D119" s="37" t="s">
        <v>99</v>
      </c>
      <c r="E119">
        <f>IF(C119="","",MONTH(C119))</f>
        <v>5</v>
      </c>
      <c r="F119">
        <f>IF(AND(C119&lt;&gt;"",YEAR(C119)=CalYear,OR(B119=CountryCode,B119="MY")),1,0)</f>
        <v>0</v>
      </c>
      <c r="G119" t="str">
        <f>IF(F119=1,E119*100+COUNTIFS($E$5:E119,E119,$F$5:F119,1),"")</f>
        <v/>
      </c>
      <c r="H119" t="str">
        <f>IF(F119=1,C119,"")</f>
        <v/>
      </c>
    </row>
    <row r="120" spans="2:8" x14ac:dyDescent="0.25">
      <c r="B120" s="37" t="s">
        <v>98</v>
      </c>
      <c r="C120" s="38">
        <v>46524</v>
      </c>
      <c r="D120" s="37" t="s">
        <v>87</v>
      </c>
      <c r="E120">
        <f>IF(C120="","",MONTH(C120))</f>
        <v>5</v>
      </c>
      <c r="F120">
        <f>IF(AND(C120&lt;&gt;"",YEAR(C120)=CalYear,OR(B120=CountryCode,B120="MY")),1,0)</f>
        <v>0</v>
      </c>
      <c r="G120" t="str">
        <f>IF(F120=1,E120*100+COUNTIFS($E$5:E120,E120,$F$5:F120,1),"")</f>
        <v/>
      </c>
      <c r="H120" t="str">
        <f>IF(F120=1,C120,"")</f>
        <v/>
      </c>
    </row>
    <row r="121" spans="2:8" x14ac:dyDescent="0.25">
      <c r="B121" s="37" t="s">
        <v>98</v>
      </c>
      <c r="C121" s="38">
        <v>46582</v>
      </c>
      <c r="D121" s="37" t="s">
        <v>100</v>
      </c>
      <c r="E121">
        <f>IF(C121="","",MONTH(C121))</f>
        <v>7</v>
      </c>
      <c r="F121">
        <f>IF(AND(C121&lt;&gt;"",YEAR(C121)=CalYear,OR(B121=CountryCode,B121="MY")),1,0)</f>
        <v>0</v>
      </c>
      <c r="G121" t="str">
        <f>IF(F121=1,E121*100+COUNTIFS($E$5:E121,E121,$F$5:F121,1),"")</f>
        <v/>
      </c>
      <c r="H121" t="str">
        <f>IF(F121=1,C121,"")</f>
        <v/>
      </c>
    </row>
    <row r="122" spans="2:8" x14ac:dyDescent="0.25">
      <c r="B122" s="37" t="s">
        <v>98</v>
      </c>
      <c r="C122" s="38">
        <v>46614</v>
      </c>
      <c r="D122" s="37" t="s">
        <v>69</v>
      </c>
      <c r="E122">
        <f>IF(C122="","",MONTH(C122))</f>
        <v>8</v>
      </c>
      <c r="F122">
        <f>IF(AND(C122&lt;&gt;"",YEAR(C122)=CalYear,OR(B122=CountryCode,B122="MY")),1,0)</f>
        <v>0</v>
      </c>
      <c r="G122" t="str">
        <f>IF(F122=1,E122*100+COUNTIFS($E$5:E122,E122,$F$5:F122,1),"")</f>
        <v/>
      </c>
      <c r="H122" t="str">
        <f>IF(F122=1,C122,"")</f>
        <v/>
      </c>
    </row>
    <row r="123" spans="2:8" x14ac:dyDescent="0.25">
      <c r="B123" s="37" t="s">
        <v>98</v>
      </c>
      <c r="C123" s="38">
        <v>46692</v>
      </c>
      <c r="D123" s="37" t="s">
        <v>74</v>
      </c>
      <c r="E123">
        <f>IF(C123="","",MONTH(C123))</f>
        <v>11</v>
      </c>
      <c r="F123">
        <f>IF(AND(C123&lt;&gt;"",YEAR(C123)=CalYear,OR(B123=CountryCode,B123="MY")),1,0)</f>
        <v>0</v>
      </c>
      <c r="G123" t="str">
        <f>IF(F123=1,E123*100+COUNTIFS($E$5:E123,E123,$F$5:F123,1),"")</f>
        <v/>
      </c>
      <c r="H123" t="str">
        <f>IF(F123=1,C123,"")</f>
        <v/>
      </c>
    </row>
    <row r="124" spans="2:8" x14ac:dyDescent="0.25">
      <c r="B124" s="37" t="s">
        <v>98</v>
      </c>
      <c r="C124" s="38">
        <v>46702</v>
      </c>
      <c r="D124" s="37" t="s">
        <v>101</v>
      </c>
      <c r="E124">
        <f>IF(C124="","",MONTH(C124))</f>
        <v>11</v>
      </c>
      <c r="F124">
        <f>IF(AND(C124&lt;&gt;"",YEAR(C124)=CalYear,OR(B124=CountryCode,B124="MY")),1,0)</f>
        <v>0</v>
      </c>
      <c r="G124" t="str">
        <f>IF(F124=1,E124*100+COUNTIFS($E$5:E124,E124,$F$5:F124,1),"")</f>
        <v/>
      </c>
      <c r="H124" t="str">
        <f>IF(F124=1,C124,"")</f>
        <v/>
      </c>
    </row>
    <row r="125" spans="2:8" x14ac:dyDescent="0.25">
      <c r="B125" s="37" t="s">
        <v>98</v>
      </c>
      <c r="C125" s="38">
        <v>46746</v>
      </c>
      <c r="D125" s="37" t="s">
        <v>46</v>
      </c>
      <c r="E125">
        <f>IF(C125="","",MONTH(C125))</f>
        <v>12</v>
      </c>
      <c r="F125">
        <f>IF(AND(C125&lt;&gt;"",YEAR(C125)=CalYear,OR(B125=CountryCode,B125="MY")),1,0)</f>
        <v>0</v>
      </c>
      <c r="G125" t="str">
        <f>IF(F125=1,E125*100+COUNTIFS($E$5:E125,E125,$F$5:F125,1),"")</f>
        <v/>
      </c>
      <c r="H125" t="str">
        <f>IF(F125=1,C125,"")</f>
        <v/>
      </c>
    </row>
    <row r="126" spans="2:8" x14ac:dyDescent="0.25">
      <c r="B126" s="37" t="s">
        <v>102</v>
      </c>
      <c r="C126" s="38">
        <v>46388</v>
      </c>
      <c r="D126" s="37" t="s">
        <v>31</v>
      </c>
      <c r="E126">
        <f>IF(C126="","",MONTH(C126))</f>
        <v>1</v>
      </c>
      <c r="F126">
        <f>IF(AND(C126&lt;&gt;"",YEAR(C126)=CalYear,OR(B126=CountryCode,B126="MY")),1,0)</f>
        <v>0</v>
      </c>
      <c r="G126" t="str">
        <f>IF(F126=1,E126*100+COUNTIFS($E$5:E126,E126,$F$5:F126,1),"")</f>
        <v/>
      </c>
      <c r="H126" t="str">
        <f>IF(F126=1,C126,"")</f>
        <v/>
      </c>
    </row>
    <row r="127" spans="2:8" x14ac:dyDescent="0.25">
      <c r="B127" s="37" t="s">
        <v>102</v>
      </c>
      <c r="C127" s="38">
        <v>46472</v>
      </c>
      <c r="D127" s="37" t="s">
        <v>35</v>
      </c>
      <c r="E127">
        <f>IF(C127="","",MONTH(C127))</f>
        <v>3</v>
      </c>
      <c r="F127">
        <f>IF(AND(C127&lt;&gt;"",YEAR(C127)=CalYear,OR(B127=CountryCode,B127="MY")),1,0)</f>
        <v>0</v>
      </c>
      <c r="G127" t="str">
        <f>IF(F127=1,E127*100+COUNTIFS($E$5:E127,E127,$F$5:F127,1),"")</f>
        <v/>
      </c>
      <c r="H127" t="str">
        <f>IF(F127=1,C127,"")</f>
        <v/>
      </c>
    </row>
    <row r="128" spans="2:8" x14ac:dyDescent="0.25">
      <c r="B128" s="37" t="s">
        <v>102</v>
      </c>
      <c r="C128" s="38">
        <v>46475</v>
      </c>
      <c r="D128" s="37" t="s">
        <v>51</v>
      </c>
      <c r="E128">
        <f>IF(C128="","",MONTH(C128))</f>
        <v>3</v>
      </c>
      <c r="F128">
        <f>IF(AND(C128&lt;&gt;"",YEAR(C128)=CalYear,OR(B128=CountryCode,B128="MY")),1,0)</f>
        <v>0</v>
      </c>
      <c r="G128" t="str">
        <f>IF(F128=1,E128*100+COUNTIFS($E$5:E128,E128,$F$5:F128,1),"")</f>
        <v/>
      </c>
      <c r="H128" t="str">
        <f>IF(F128=1,C128,"")</f>
        <v/>
      </c>
    </row>
    <row r="129" spans="2:8" x14ac:dyDescent="0.25">
      <c r="B129" s="37" t="s">
        <v>102</v>
      </c>
      <c r="C129" s="38">
        <v>46510</v>
      </c>
      <c r="D129" s="37" t="s">
        <v>103</v>
      </c>
      <c r="E129">
        <f>IF(C129="","",MONTH(C129))</f>
        <v>5</v>
      </c>
      <c r="F129">
        <f>IF(AND(C129&lt;&gt;"",YEAR(C129)=CalYear,OR(B129=CountryCode,B129="MY")),1,0)</f>
        <v>0</v>
      </c>
      <c r="G129" t="str">
        <f>IF(F129=1,E129*100+COUNTIFS($E$5:E129,E129,$F$5:F129,1),"")</f>
        <v/>
      </c>
      <c r="H129" t="str">
        <f>IF(F129=1,C129,"")</f>
        <v/>
      </c>
    </row>
    <row r="130" spans="2:8" x14ac:dyDescent="0.25">
      <c r="B130" s="37" t="s">
        <v>102</v>
      </c>
      <c r="C130" s="38">
        <v>46538</v>
      </c>
      <c r="D130" s="37" t="s">
        <v>104</v>
      </c>
      <c r="E130">
        <f>IF(C130="","",MONTH(C130))</f>
        <v>5</v>
      </c>
      <c r="F130">
        <f>IF(AND(C130&lt;&gt;"",YEAR(C130)=CalYear,OR(B130=CountryCode,B130="MY")),1,0)</f>
        <v>0</v>
      </c>
      <c r="G130" t="str">
        <f>IF(F130=1,E130*100+COUNTIFS($E$5:E130,E130,$F$5:F130,1),"")</f>
        <v/>
      </c>
      <c r="H130" t="str">
        <f>IF(F130=1,C130,"")</f>
        <v/>
      </c>
    </row>
    <row r="131" spans="2:8" x14ac:dyDescent="0.25">
      <c r="B131" s="37" t="s">
        <v>102</v>
      </c>
      <c r="C131" s="38">
        <v>46746</v>
      </c>
      <c r="D131" s="37" t="s">
        <v>46</v>
      </c>
      <c r="E131">
        <f>IF(C131="","",MONTH(C131))</f>
        <v>12</v>
      </c>
      <c r="F131">
        <f>IF(AND(C131&lt;&gt;"",YEAR(C131)=CalYear,OR(B131=CountryCode,B131="MY")),1,0)</f>
        <v>0</v>
      </c>
      <c r="G131" t="str">
        <f>IF(F131=1,E131*100+COUNTIFS($E$5:E131,E131,$F$5:F131,1),"")</f>
        <v/>
      </c>
      <c r="H131" t="str">
        <f>IF(F131=1,C131,"")</f>
        <v/>
      </c>
    </row>
    <row r="132" spans="2:8" x14ac:dyDescent="0.25">
      <c r="B132" s="37" t="s">
        <v>102</v>
      </c>
      <c r="C132" s="38">
        <v>46747</v>
      </c>
      <c r="D132" s="37" t="s">
        <v>53</v>
      </c>
      <c r="E132">
        <f>IF(C132="","",MONTH(C132))</f>
        <v>12</v>
      </c>
      <c r="F132">
        <f>IF(AND(C132&lt;&gt;"",YEAR(C132)=CalYear,OR(B132=CountryCode,B132="MY")),1,0)</f>
        <v>0</v>
      </c>
      <c r="G132" t="str">
        <f>IF(F132=1,E132*100+COUNTIFS($E$5:E132,E132,$F$5:F132,1),"")</f>
        <v/>
      </c>
      <c r="H132" t="str">
        <f>IF(F132=1,C132,"")</f>
        <v/>
      </c>
    </row>
    <row r="133" spans="2:8" x14ac:dyDescent="0.25">
      <c r="B133" s="37" t="s">
        <v>102</v>
      </c>
      <c r="C133" s="38">
        <v>46748</v>
      </c>
      <c r="D133" s="37" t="s">
        <v>54</v>
      </c>
      <c r="E133">
        <f>IF(C133="","",MONTH(C133))</f>
        <v>12</v>
      </c>
      <c r="F133">
        <f>IF(AND(C133&lt;&gt;"",YEAR(C133)=CalYear,OR(B133=CountryCode,B133="MY")),1,0)</f>
        <v>0</v>
      </c>
      <c r="G133" t="str">
        <f>IF(F133=1,E133*100+COUNTIFS($E$5:E133,E133,$F$5:F133,1),"")</f>
        <v/>
      </c>
      <c r="H133" t="str">
        <f>IF(F133=1,C133,"")</f>
        <v/>
      </c>
    </row>
    <row r="134" spans="2:8" x14ac:dyDescent="0.25">
      <c r="B134" s="37" t="s">
        <v>102</v>
      </c>
      <c r="C134" s="38">
        <v>46749</v>
      </c>
      <c r="D134" s="37" t="s">
        <v>55</v>
      </c>
      <c r="E134">
        <f>IF(C134="","",MONTH(C134))</f>
        <v>12</v>
      </c>
      <c r="F134">
        <f>IF(AND(C134&lt;&gt;"",YEAR(C134)=CalYear,OR(B134=CountryCode,B134="MY")),1,0)</f>
        <v>0</v>
      </c>
      <c r="G134" t="str">
        <f>IF(F134=1,E134*100+COUNTIFS($E$5:E134,E134,$F$5:F134,1),"")</f>
        <v/>
      </c>
      <c r="H134" t="str">
        <f>IF(F134=1,C134,"")</f>
        <v/>
      </c>
    </row>
    <row r="135" spans="2:8" x14ac:dyDescent="0.25">
      <c r="B135" s="37" t="s">
        <v>105</v>
      </c>
      <c r="C135" s="38">
        <v>46388</v>
      </c>
      <c r="D135" s="37" t="s">
        <v>31</v>
      </c>
      <c r="E135">
        <f>IF(C135="","",MONTH(C135))</f>
        <v>1</v>
      </c>
      <c r="F135">
        <f>IF(AND(C135&lt;&gt;"",YEAR(C135)=CalYear,OR(B135=CountryCode,B135="MY")),1,0)</f>
        <v>0</v>
      </c>
      <c r="G135" t="str">
        <f>IF(F135=1,E135*100+COUNTIFS($E$5:E135,E135,$F$5:F135,1),"")</f>
        <v/>
      </c>
      <c r="H135" t="str">
        <f>IF(F135=1,C135,"")</f>
        <v/>
      </c>
    </row>
    <row r="136" spans="2:8" x14ac:dyDescent="0.25">
      <c r="B136" s="37" t="s">
        <v>105</v>
      </c>
      <c r="C136" s="38">
        <v>46419</v>
      </c>
      <c r="D136" s="37" t="s">
        <v>106</v>
      </c>
      <c r="E136">
        <f>IF(C136="","",MONTH(C136))</f>
        <v>2</v>
      </c>
      <c r="F136">
        <f>IF(AND(C136&lt;&gt;"",YEAR(C136)=CalYear,OR(B136=CountryCode,B136="MY")),1,0)</f>
        <v>0</v>
      </c>
      <c r="G136" t="str">
        <f>IF(F136=1,E136*100+COUNTIFS($E$5:E136,E136,$F$5:F136,1),"")</f>
        <v/>
      </c>
      <c r="H136" t="str">
        <f>IF(F136=1,C136,"")</f>
        <v/>
      </c>
    </row>
    <row r="137" spans="2:8" x14ac:dyDescent="0.25">
      <c r="B137" s="37" t="s">
        <v>105</v>
      </c>
      <c r="C137" s="38">
        <v>46463</v>
      </c>
      <c r="D137" s="37" t="s">
        <v>107</v>
      </c>
      <c r="E137">
        <f>IF(C137="","",MONTH(C137))</f>
        <v>3</v>
      </c>
      <c r="F137">
        <f>IF(AND(C137&lt;&gt;"",YEAR(C137)=CalYear,OR(B137=CountryCode,B137="MY")),1,0)</f>
        <v>0</v>
      </c>
      <c r="G137" t="str">
        <f>IF(F137=1,E137*100+COUNTIFS($E$5:E137,E137,$F$5:F137,1),"")</f>
        <v/>
      </c>
      <c r="H137" t="str">
        <f>IF(F137=1,C137,"")</f>
        <v/>
      </c>
    </row>
    <row r="138" spans="2:8" x14ac:dyDescent="0.25">
      <c r="B138" s="37" t="s">
        <v>105</v>
      </c>
      <c r="C138" s="38">
        <v>46475</v>
      </c>
      <c r="D138" s="37" t="s">
        <v>51</v>
      </c>
      <c r="E138">
        <f>IF(C138="","",MONTH(C138))</f>
        <v>3</v>
      </c>
      <c r="F138">
        <f>IF(AND(C138&lt;&gt;"",YEAR(C138)=CalYear,OR(B138=CountryCode,B138="MY")),1,0)</f>
        <v>0</v>
      </c>
      <c r="G138" t="str">
        <f>IF(F138=1,E138*100+COUNTIFS($E$5:E138,E138,$F$5:F138,1),"")</f>
        <v/>
      </c>
      <c r="H138" t="str">
        <f>IF(F138=1,C138,"")</f>
        <v/>
      </c>
    </row>
    <row r="139" spans="2:8" x14ac:dyDescent="0.25">
      <c r="B139" s="37" t="s">
        <v>105</v>
      </c>
      <c r="C139" s="38">
        <v>46510</v>
      </c>
      <c r="D139" s="37" t="s">
        <v>108</v>
      </c>
      <c r="E139">
        <f>IF(C139="","",MONTH(C139))</f>
        <v>5</v>
      </c>
      <c r="F139">
        <f>IF(AND(C139&lt;&gt;"",YEAR(C139)=CalYear,OR(B139=CountryCode,B139="MY")),1,0)</f>
        <v>0</v>
      </c>
      <c r="G139" t="str">
        <f>IF(F139=1,E139*100+COUNTIFS($E$5:E139,E139,$F$5:F139,1),"")</f>
        <v/>
      </c>
      <c r="H139" t="str">
        <f>IF(F139=1,C139,"")</f>
        <v/>
      </c>
    </row>
    <row r="140" spans="2:8" x14ac:dyDescent="0.25">
      <c r="B140" s="37" t="s">
        <v>105</v>
      </c>
      <c r="C140" s="38">
        <v>46545</v>
      </c>
      <c r="D140" s="37" t="s">
        <v>109</v>
      </c>
      <c r="E140">
        <f>IF(C140="","",MONTH(C140))</f>
        <v>6</v>
      </c>
      <c r="F140">
        <f>IF(AND(C140&lt;&gt;"",YEAR(C140)=CalYear,OR(B140=CountryCode,B140="MY")),1,0)</f>
        <v>0</v>
      </c>
      <c r="G140" t="str">
        <f>IF(F140=1,E140*100+COUNTIFS($E$5:E140,E140,$F$5:F140,1),"")</f>
        <v/>
      </c>
      <c r="H140" t="str">
        <f>IF(F140=1,C140,"")</f>
        <v/>
      </c>
    </row>
    <row r="141" spans="2:8" x14ac:dyDescent="0.25">
      <c r="B141" s="37" t="s">
        <v>105</v>
      </c>
      <c r="C141" s="38">
        <v>46601</v>
      </c>
      <c r="D141" s="37" t="s">
        <v>110</v>
      </c>
      <c r="E141">
        <f>IF(C141="","",MONTH(C141))</f>
        <v>8</v>
      </c>
      <c r="F141">
        <f>IF(AND(C141&lt;&gt;"",YEAR(C141)=CalYear,OR(B141=CountryCode,B141="MY")),1,0)</f>
        <v>0</v>
      </c>
      <c r="G141" t="str">
        <f>IF(F141=1,E141*100+COUNTIFS($E$5:E141,E141,$F$5:F141,1),"")</f>
        <v/>
      </c>
      <c r="H141" t="str">
        <f>IF(F141=1,C141,"")</f>
        <v/>
      </c>
    </row>
    <row r="142" spans="2:8" x14ac:dyDescent="0.25">
      <c r="B142" s="37" t="s">
        <v>105</v>
      </c>
      <c r="C142" s="38">
        <v>46685</v>
      </c>
      <c r="D142" s="37" t="s">
        <v>111</v>
      </c>
      <c r="E142">
        <f>IF(C142="","",MONTH(C142))</f>
        <v>10</v>
      </c>
      <c r="F142">
        <f>IF(AND(C142&lt;&gt;"",YEAR(C142)=CalYear,OR(B142=CountryCode,B142="MY")),1,0)</f>
        <v>0</v>
      </c>
      <c r="G142" t="str">
        <f>IF(F142=1,E142*100+COUNTIFS($E$5:E142,E142,$F$5:F142,1),"")</f>
        <v/>
      </c>
      <c r="H142" t="str">
        <f>IF(F142=1,C142,"")</f>
        <v/>
      </c>
    </row>
    <row r="143" spans="2:8" x14ac:dyDescent="0.25">
      <c r="B143" s="37" t="s">
        <v>105</v>
      </c>
      <c r="C143" s="38">
        <v>46746</v>
      </c>
      <c r="D143" s="37" t="s">
        <v>46</v>
      </c>
      <c r="E143">
        <f>IF(C143="","",MONTH(C143))</f>
        <v>12</v>
      </c>
      <c r="F143">
        <f>IF(AND(C143&lt;&gt;"",YEAR(C143)=CalYear,OR(B143=CountryCode,B143="MY")),1,0)</f>
        <v>0</v>
      </c>
      <c r="G143" t="str">
        <f>IF(F143=1,E143*100+COUNTIFS($E$5:E143,E143,$F$5:F143,1),"")</f>
        <v/>
      </c>
      <c r="H143" t="str">
        <f>IF(F143=1,C143,"")</f>
        <v/>
      </c>
    </row>
    <row r="144" spans="2:8" x14ac:dyDescent="0.25">
      <c r="B144" s="37" t="s">
        <v>105</v>
      </c>
      <c r="C144" s="38">
        <v>46747</v>
      </c>
      <c r="D144" s="37" t="s">
        <v>112</v>
      </c>
      <c r="E144">
        <f>IF(C144="","",MONTH(C144))</f>
        <v>12</v>
      </c>
      <c r="F144">
        <f>IF(AND(C144&lt;&gt;"",YEAR(C144)=CalYear,OR(B144=CountryCode,B144="MY")),1,0)</f>
        <v>0</v>
      </c>
      <c r="G144" t="str">
        <f>IF(F144=1,E144*100+COUNTIFS($E$5:E144,E144,$F$5:F144,1),"")</f>
        <v/>
      </c>
      <c r="H144" t="str">
        <f>IF(F144=1,C144,"")</f>
        <v/>
      </c>
    </row>
    <row r="145" spans="2:8" x14ac:dyDescent="0.25">
      <c r="B145" s="37" t="s">
        <v>113</v>
      </c>
      <c r="C145" s="38">
        <v>46388</v>
      </c>
      <c r="D145" s="37" t="s">
        <v>31</v>
      </c>
      <c r="E145">
        <f>IF(C145="","",MONTH(C145))</f>
        <v>1</v>
      </c>
      <c r="F145">
        <f>IF(AND(C145&lt;&gt;"",YEAR(C145)=CalYear,OR(B145=CountryCode,B145="MY")),1,0)</f>
        <v>0</v>
      </c>
      <c r="G145" t="str">
        <f>IF(F145=1,E145*100+COUNTIFS($E$5:E145,E145,$F$5:F145,1),"")</f>
        <v/>
      </c>
      <c r="H145" t="str">
        <f>IF(F145=1,C145,"")</f>
        <v/>
      </c>
    </row>
    <row r="146" spans="2:8" x14ac:dyDescent="0.25">
      <c r="B146" s="37" t="s">
        <v>113</v>
      </c>
      <c r="C146" s="38">
        <v>46393</v>
      </c>
      <c r="D146" s="37" t="s">
        <v>77</v>
      </c>
      <c r="E146">
        <f>IF(C146="","",MONTH(C146))</f>
        <v>1</v>
      </c>
      <c r="F146">
        <f>IF(AND(C146&lt;&gt;"",YEAR(C146)=CalYear,OR(B146=CountryCode,B146="MY")),1,0)</f>
        <v>0</v>
      </c>
      <c r="G146" t="str">
        <f>IF(F146=1,E146*100+COUNTIFS($E$5:E146,E146,$F$5:F146,1),"")</f>
        <v/>
      </c>
      <c r="H146" t="str">
        <f>IF(F146=1,C146,"")</f>
        <v/>
      </c>
    </row>
    <row r="147" spans="2:8" x14ac:dyDescent="0.25">
      <c r="B147" s="37" t="s">
        <v>113</v>
      </c>
      <c r="C147" s="38">
        <v>46474</v>
      </c>
      <c r="D147" s="37" t="s">
        <v>50</v>
      </c>
      <c r="E147">
        <f>IF(C147="","",MONTH(C147))</f>
        <v>3</v>
      </c>
      <c r="F147">
        <f>IF(AND(C147&lt;&gt;"",YEAR(C147)=CalYear,OR(B147=CountryCode,B147="MY")),1,0)</f>
        <v>0</v>
      </c>
      <c r="G147" t="str">
        <f>IF(F147=1,E147*100+COUNTIFS($E$5:E147,E147,$F$5:F147,1),"")</f>
        <v/>
      </c>
      <c r="H147" t="str">
        <f>IF(F147=1,C147,"")</f>
        <v/>
      </c>
    </row>
    <row r="148" spans="2:8" x14ac:dyDescent="0.25">
      <c r="B148" s="37" t="s">
        <v>113</v>
      </c>
      <c r="C148" s="38">
        <v>46475</v>
      </c>
      <c r="D148" s="37" t="s">
        <v>51</v>
      </c>
      <c r="E148">
        <f>IF(C148="","",MONTH(C148))</f>
        <v>3</v>
      </c>
      <c r="F148">
        <f>IF(AND(C148&lt;&gt;"",YEAR(C148)=CalYear,OR(B148=CountryCode,B148="MY")),1,0)</f>
        <v>0</v>
      </c>
      <c r="G148" t="str">
        <f>IF(F148=1,E148*100+COUNTIFS($E$5:E148,E148,$F$5:F148,1),"")</f>
        <v/>
      </c>
      <c r="H148" t="str">
        <f>IF(F148=1,C148,"")</f>
        <v/>
      </c>
    </row>
    <row r="149" spans="2:8" x14ac:dyDescent="0.25">
      <c r="B149" s="37" t="s">
        <v>113</v>
      </c>
      <c r="C149" s="38">
        <v>46502</v>
      </c>
      <c r="D149" s="37" t="s">
        <v>114</v>
      </c>
      <c r="E149">
        <f>IF(C149="","",MONTH(C149))</f>
        <v>4</v>
      </c>
      <c r="F149">
        <f>IF(AND(C149&lt;&gt;"",YEAR(C149)=CalYear,OR(B149=CountryCode,B149="MY")),1,0)</f>
        <v>0</v>
      </c>
      <c r="G149" t="str">
        <f>IF(F149=1,E149*100+COUNTIFS($E$5:E149,E149,$F$5:F149,1),"")</f>
        <v/>
      </c>
      <c r="H149" t="str">
        <f>IF(F149=1,C149,"")</f>
        <v/>
      </c>
    </row>
    <row r="150" spans="2:8" x14ac:dyDescent="0.25">
      <c r="B150" s="37" t="s">
        <v>113</v>
      </c>
      <c r="C150" s="38">
        <v>46508</v>
      </c>
      <c r="D150" s="37" t="s">
        <v>37</v>
      </c>
      <c r="E150">
        <f>IF(C150="","",MONTH(C150))</f>
        <v>5</v>
      </c>
      <c r="F150">
        <f>IF(AND(C150&lt;&gt;"",YEAR(C150)=CalYear,OR(B150=CountryCode,B150="MY")),1,0)</f>
        <v>0</v>
      </c>
      <c r="G150" t="str">
        <f>IF(F150=1,E150*100+COUNTIFS($E$5:E150,E150,$F$5:F150,1),"")</f>
        <v/>
      </c>
      <c r="H150" t="str">
        <f>IF(F150=1,C150,"")</f>
        <v/>
      </c>
    </row>
    <row r="151" spans="2:8" x14ac:dyDescent="0.25">
      <c r="B151" s="37" t="s">
        <v>113</v>
      </c>
      <c r="C151" s="38">
        <v>46540</v>
      </c>
      <c r="D151" s="37" t="s">
        <v>60</v>
      </c>
      <c r="E151">
        <f>IF(C151="","",MONTH(C151))</f>
        <v>6</v>
      </c>
      <c r="F151">
        <f>IF(AND(C151&lt;&gt;"",YEAR(C151)=CalYear,OR(B151=CountryCode,B151="MY")),1,0)</f>
        <v>0</v>
      </c>
      <c r="G151" t="str">
        <f>IF(F151=1,E151*100+COUNTIFS($E$5:E151,E151,$F$5:F151,1),"")</f>
        <v/>
      </c>
      <c r="H151" t="str">
        <f>IF(F151=1,C151,"")</f>
        <v/>
      </c>
    </row>
    <row r="152" spans="2:8" x14ac:dyDescent="0.25">
      <c r="B152" s="37" t="s">
        <v>113</v>
      </c>
      <c r="C152" s="38">
        <v>46614</v>
      </c>
      <c r="D152" s="37" t="s">
        <v>69</v>
      </c>
      <c r="E152">
        <f>IF(C152="","",MONTH(C152))</f>
        <v>8</v>
      </c>
      <c r="F152">
        <f>IF(AND(C152&lt;&gt;"",YEAR(C152)=CalYear,OR(B152=CountryCode,B152="MY")),1,0)</f>
        <v>0</v>
      </c>
      <c r="G152" t="str">
        <f>IF(F152=1,E152*100+COUNTIFS($E$5:E152,E152,$F$5:F152,1),"")</f>
        <v/>
      </c>
      <c r="H152" t="str">
        <f>IF(F152=1,C152,"")</f>
        <v/>
      </c>
    </row>
    <row r="153" spans="2:8" x14ac:dyDescent="0.25">
      <c r="B153" s="37" t="s">
        <v>113</v>
      </c>
      <c r="C153" s="38">
        <v>46664</v>
      </c>
      <c r="D153" s="37" t="s">
        <v>115</v>
      </c>
      <c r="E153">
        <f>IF(C153="","",MONTH(C153))</f>
        <v>10</v>
      </c>
      <c r="F153">
        <f>IF(AND(C153&lt;&gt;"",YEAR(C153)=CalYear,OR(B153=CountryCode,B153="MY")),1,0)</f>
        <v>0</v>
      </c>
      <c r="G153" t="str">
        <f>IF(F153=1,E153*100+COUNTIFS($E$5:E153,E153,$F$5:F153,1),"")</f>
        <v/>
      </c>
      <c r="H153" t="str">
        <f>IF(F153=1,C153,"")</f>
        <v/>
      </c>
    </row>
    <row r="154" spans="2:8" x14ac:dyDescent="0.25">
      <c r="B154" s="37" t="s">
        <v>113</v>
      </c>
      <c r="C154" s="38">
        <v>46692</v>
      </c>
      <c r="D154" s="37" t="s">
        <v>74</v>
      </c>
      <c r="E154">
        <f>IF(C154="","",MONTH(C154))</f>
        <v>11</v>
      </c>
      <c r="F154">
        <f>IF(AND(C154&lt;&gt;"",YEAR(C154)=CalYear,OR(B154=CountryCode,B154="MY")),1,0)</f>
        <v>0</v>
      </c>
      <c r="G154" t="str">
        <f>IF(F154=1,E154*100+COUNTIFS($E$5:E154,E154,$F$5:F154,1),"")</f>
        <v/>
      </c>
      <c r="H154" t="str">
        <f>IF(F154=1,C154,"")</f>
        <v/>
      </c>
    </row>
    <row r="155" spans="2:8" x14ac:dyDescent="0.25">
      <c r="B155" s="37" t="s">
        <v>113</v>
      </c>
      <c r="C155" s="38">
        <v>46729</v>
      </c>
      <c r="D155" s="37" t="s">
        <v>75</v>
      </c>
      <c r="E155">
        <f>IF(C155="","",MONTH(C155))</f>
        <v>12</v>
      </c>
      <c r="F155">
        <f>IF(AND(C155&lt;&gt;"",YEAR(C155)=CalYear,OR(B155=CountryCode,B155="MY")),1,0)</f>
        <v>0</v>
      </c>
      <c r="G155" t="str">
        <f>IF(F155=1,E155*100+COUNTIFS($E$5:E155,E155,$F$5:F155,1),"")</f>
        <v/>
      </c>
      <c r="H155" t="str">
        <f>IF(F155=1,C155,"")</f>
        <v/>
      </c>
    </row>
    <row r="156" spans="2:8" x14ac:dyDescent="0.25">
      <c r="B156" s="37" t="s">
        <v>113</v>
      </c>
      <c r="C156" s="38">
        <v>46746</v>
      </c>
      <c r="D156" s="37" t="s">
        <v>46</v>
      </c>
      <c r="E156">
        <f>IF(C156="","",MONTH(C156))</f>
        <v>12</v>
      </c>
      <c r="F156">
        <f>IF(AND(C156&lt;&gt;"",YEAR(C156)=CalYear,OR(B156=CountryCode,B156="MY")),1,0)</f>
        <v>0</v>
      </c>
      <c r="G156" t="str">
        <f>IF(F156=1,E156*100+COUNTIFS($E$5:E156,E156,$F$5:F156,1),"")</f>
        <v/>
      </c>
      <c r="H156" t="str">
        <f>IF(F156=1,C156,"")</f>
        <v/>
      </c>
    </row>
    <row r="157" spans="2:8" x14ac:dyDescent="0.25">
      <c r="B157" s="37" t="s">
        <v>113</v>
      </c>
      <c r="C157" s="38">
        <v>46747</v>
      </c>
      <c r="D157" s="37" t="s">
        <v>53</v>
      </c>
      <c r="E157">
        <f>IF(C157="","",MONTH(C157))</f>
        <v>12</v>
      </c>
      <c r="F157">
        <f>IF(AND(C157&lt;&gt;"",YEAR(C157)=CalYear,OR(B157=CountryCode,B157="MY")),1,0)</f>
        <v>0</v>
      </c>
      <c r="G157" t="str">
        <f>IF(F157=1,E157*100+COUNTIFS($E$5:E157,E157,$F$5:F157,1),"")</f>
        <v/>
      </c>
      <c r="H157" t="str">
        <f>IF(F157=1,C157,"")</f>
        <v/>
      </c>
    </row>
    <row r="158" spans="2:8" x14ac:dyDescent="0.25">
      <c r="B158" s="37" t="s">
        <v>116</v>
      </c>
      <c r="C158" s="38">
        <v>46388</v>
      </c>
      <c r="D158" s="37" t="s">
        <v>31</v>
      </c>
      <c r="E158">
        <f>IF(C158="","",MONTH(C158))</f>
        <v>1</v>
      </c>
      <c r="F158">
        <f>IF(AND(C158&lt;&gt;"",YEAR(C158)=CalYear,OR(B158=CountryCode,B158="MY")),1,0)</f>
        <v>0</v>
      </c>
      <c r="G158" t="str">
        <f>IF(F158=1,E158*100+COUNTIFS($E$5:E158,E158,$F$5:F158,1),"")</f>
        <v/>
      </c>
      <c r="H158" t="str">
        <f>IF(F158=1,C158,"")</f>
        <v/>
      </c>
    </row>
    <row r="159" spans="2:8" x14ac:dyDescent="0.25">
      <c r="B159" s="37" t="s">
        <v>116</v>
      </c>
      <c r="C159" s="38">
        <v>46419</v>
      </c>
      <c r="D159" s="37" t="s">
        <v>117</v>
      </c>
      <c r="E159">
        <f>IF(C159="","",MONTH(C159))</f>
        <v>2</v>
      </c>
      <c r="F159">
        <f>IF(AND(C159&lt;&gt;"",YEAR(C159)=CalYear,OR(B159=CountryCode,B159="MY")),1,0)</f>
        <v>0</v>
      </c>
      <c r="G159" t="str">
        <f>IF(F159=1,E159*100+COUNTIFS($E$5:E159,E159,$F$5:F159,1),"")</f>
        <v/>
      </c>
      <c r="H159" t="str">
        <f>IF(F159=1,C159,"")</f>
        <v/>
      </c>
    </row>
    <row r="160" spans="2:8" x14ac:dyDescent="0.25">
      <c r="B160" s="37" t="s">
        <v>116</v>
      </c>
      <c r="C160" s="38">
        <v>46461</v>
      </c>
      <c r="D160" s="37" t="s">
        <v>118</v>
      </c>
      <c r="E160">
        <f>IF(C160="","",MONTH(C160))</f>
        <v>3</v>
      </c>
      <c r="F160">
        <f>IF(AND(C160&lt;&gt;"",YEAR(C160)=CalYear,OR(B160=CountryCode,B160="MY")),1,0)</f>
        <v>0</v>
      </c>
      <c r="G160" t="str">
        <f>IF(F160=1,E160*100+COUNTIFS($E$5:E160,E160,$F$5:F160,1),"")</f>
        <v/>
      </c>
      <c r="H160" t="str">
        <f>IF(F160=1,C160,"")</f>
        <v/>
      </c>
    </row>
    <row r="161" spans="2:8" x14ac:dyDescent="0.25">
      <c r="B161" s="37" t="s">
        <v>116</v>
      </c>
      <c r="C161" s="38">
        <v>46508</v>
      </c>
      <c r="D161" s="37" t="s">
        <v>37</v>
      </c>
      <c r="E161">
        <f>IF(C161="","",MONTH(C161))</f>
        <v>5</v>
      </c>
      <c r="F161">
        <f>IF(AND(C161&lt;&gt;"",YEAR(C161)=CalYear,OR(B161=CountryCode,B161="MY")),1,0)</f>
        <v>0</v>
      </c>
      <c r="G161" t="str">
        <f>IF(F161=1,E161*100+COUNTIFS($E$5:E161,E161,$F$5:F161,1),"")</f>
        <v/>
      </c>
      <c r="H161" t="str">
        <f>IF(F161=1,C161,"")</f>
        <v/>
      </c>
    </row>
    <row r="162" spans="2:8" x14ac:dyDescent="0.25">
      <c r="B162" s="37" t="s">
        <v>116</v>
      </c>
      <c r="C162" s="38">
        <v>46646</v>
      </c>
      <c r="D162" s="37" t="s">
        <v>41</v>
      </c>
      <c r="E162">
        <f>IF(C162="","",MONTH(C162))</f>
        <v>9</v>
      </c>
      <c r="F162">
        <f>IF(AND(C162&lt;&gt;"",YEAR(C162)=CalYear,OR(B162=CountryCode,B162="MY")),1,0)</f>
        <v>0</v>
      </c>
      <c r="G162" t="str">
        <f>IF(F162=1,E162*100+COUNTIFS($E$5:E162,E162,$F$5:F162,1),"")</f>
        <v/>
      </c>
      <c r="H162" t="str">
        <f>IF(F162=1,C162,"")</f>
        <v/>
      </c>
    </row>
    <row r="163" spans="2:8" x14ac:dyDescent="0.25">
      <c r="B163" s="37" t="s">
        <v>116</v>
      </c>
      <c r="C163" s="38">
        <v>46706</v>
      </c>
      <c r="D163" s="37" t="s">
        <v>119</v>
      </c>
      <c r="E163">
        <f>IF(C163="","",MONTH(C163))</f>
        <v>11</v>
      </c>
      <c r="F163">
        <f>IF(AND(C163&lt;&gt;"",YEAR(C163)=CalYear,OR(B163=CountryCode,B163="MY")),1,0)</f>
        <v>0</v>
      </c>
      <c r="G163" t="str">
        <f>IF(F163=1,E163*100+COUNTIFS($E$5:E163,E163,$F$5:F163,1),"")</f>
        <v/>
      </c>
      <c r="H163" t="str">
        <f>IF(F163=1,C163,"")</f>
        <v/>
      </c>
    </row>
    <row r="164" spans="2:8" x14ac:dyDescent="0.25">
      <c r="B164" s="37" t="s">
        <v>116</v>
      </c>
      <c r="C164" s="38">
        <v>46746</v>
      </c>
      <c r="D164" s="37" t="s">
        <v>46</v>
      </c>
      <c r="E164">
        <f>IF(C164="","",MONTH(C164))</f>
        <v>12</v>
      </c>
      <c r="F164">
        <f>IF(AND(C164&lt;&gt;"",YEAR(C164)=CalYear,OR(B164=CountryCode,B164="MY")),1,0)</f>
        <v>0</v>
      </c>
      <c r="G164" t="str">
        <f>IF(F164=1,E164*100+COUNTIFS($E$5:E164,E164,$F$5:F164,1),"")</f>
        <v/>
      </c>
      <c r="H164" t="str">
        <f>IF(F164=1,C164,"")</f>
        <v/>
      </c>
    </row>
    <row r="165" spans="2:8" x14ac:dyDescent="0.25">
      <c r="B165" s="37" t="s">
        <v>120</v>
      </c>
      <c r="C165" s="38">
        <v>46388</v>
      </c>
      <c r="D165" s="37" t="s">
        <v>31</v>
      </c>
      <c r="E165">
        <f>IF(C165="","",MONTH(C165))</f>
        <v>1</v>
      </c>
      <c r="F165">
        <f>IF(AND(C165&lt;&gt;"",YEAR(C165)=CalYear,OR(B165=CountryCode,B165="MY")),1,0)</f>
        <v>0</v>
      </c>
      <c r="G165" t="str">
        <f>IF(F165=1,E165*100+COUNTIFS($E$5:E165,E165,$F$5:F165,1),"")</f>
        <v/>
      </c>
      <c r="H165" t="str">
        <f>IF(F165=1,C165,"")</f>
        <v/>
      </c>
    </row>
    <row r="166" spans="2:8" x14ac:dyDescent="0.25">
      <c r="B166" s="37" t="s">
        <v>120</v>
      </c>
      <c r="C166" s="38">
        <v>46389</v>
      </c>
      <c r="D166" s="37" t="s">
        <v>121</v>
      </c>
      <c r="E166">
        <f>IF(C166="","",MONTH(C166))</f>
        <v>1</v>
      </c>
      <c r="F166">
        <f>IF(AND(C166&lt;&gt;"",YEAR(C166)=CalYear,OR(B166=CountryCode,B166="MY")),1,0)</f>
        <v>0</v>
      </c>
      <c r="G166" t="str">
        <f>IF(F166=1,E166*100+COUNTIFS($E$5:E166,E166,$F$5:F166,1),"")</f>
        <v/>
      </c>
      <c r="H166" t="str">
        <f>IF(F166=1,C166,"")</f>
        <v/>
      </c>
    </row>
    <row r="167" spans="2:8" x14ac:dyDescent="0.25">
      <c r="B167" s="37" t="s">
        <v>120</v>
      </c>
      <c r="C167" s="38">
        <v>46391</v>
      </c>
      <c r="D167" s="37" t="s">
        <v>122</v>
      </c>
      <c r="E167">
        <f>IF(C167="","",MONTH(C167))</f>
        <v>1</v>
      </c>
      <c r="F167">
        <f>IF(AND(C167&lt;&gt;"",YEAR(C167)=CalYear,OR(B167=CountryCode,B167="MY")),1,0)</f>
        <v>0</v>
      </c>
      <c r="G167" t="str">
        <f>IF(F167=1,E167*100+COUNTIFS($E$5:E167,E167,$F$5:F167,1),"")</f>
        <v/>
      </c>
      <c r="H167" t="str">
        <f>IF(F167=1,C167,"")</f>
        <v/>
      </c>
    </row>
    <row r="168" spans="2:8" x14ac:dyDescent="0.25">
      <c r="B168" s="37" t="s">
        <v>120</v>
      </c>
      <c r="C168" s="38">
        <v>46424</v>
      </c>
      <c r="D168" s="37" t="s">
        <v>123</v>
      </c>
      <c r="E168">
        <f>IF(C168="","",MONTH(C168))</f>
        <v>2</v>
      </c>
      <c r="F168">
        <f>IF(AND(C168&lt;&gt;"",YEAR(C168)=CalYear,OR(B168=CountryCode,B168="MY")),1,0)</f>
        <v>0</v>
      </c>
      <c r="G168" t="str">
        <f>IF(F168=1,E168*100+COUNTIFS($E$5:E168,E168,$F$5:F168,1),"")</f>
        <v/>
      </c>
      <c r="H168" t="str">
        <f>IF(F168=1,C168,"")</f>
        <v/>
      </c>
    </row>
    <row r="169" spans="2:8" x14ac:dyDescent="0.25">
      <c r="B169" s="37" t="s">
        <v>120</v>
      </c>
      <c r="C169" s="38">
        <v>46426</v>
      </c>
      <c r="D169" s="37" t="s">
        <v>124</v>
      </c>
      <c r="E169">
        <f>IF(C169="","",MONTH(C169))</f>
        <v>2</v>
      </c>
      <c r="F169">
        <f>IF(AND(C169&lt;&gt;"",YEAR(C169)=CalYear,OR(B169=CountryCode,B169="MY")),1,0)</f>
        <v>0</v>
      </c>
      <c r="G169" t="str">
        <f>IF(F169=1,E169*100+COUNTIFS($E$5:E169,E169,$F$5:F169,1),"")</f>
        <v/>
      </c>
      <c r="H169" t="str">
        <f>IF(F169=1,C169,"")</f>
        <v/>
      </c>
    </row>
    <row r="170" spans="2:8" x14ac:dyDescent="0.25">
      <c r="B170" s="37" t="s">
        <v>120</v>
      </c>
      <c r="C170" s="38">
        <v>46472</v>
      </c>
      <c r="D170" s="37" t="s">
        <v>35</v>
      </c>
      <c r="E170">
        <f>IF(C170="","",MONTH(C170))</f>
        <v>3</v>
      </c>
      <c r="F170">
        <f>IF(AND(C170&lt;&gt;"",YEAR(C170)=CalYear,OR(B170=CountryCode,B170="MY")),1,0)</f>
        <v>0</v>
      </c>
      <c r="G170" t="str">
        <f>IF(F170=1,E170*100+COUNTIFS($E$5:E170,E170,$F$5:F170,1),"")</f>
        <v/>
      </c>
      <c r="H170" t="str">
        <f>IF(F170=1,C170,"")</f>
        <v/>
      </c>
    </row>
    <row r="171" spans="2:8" x14ac:dyDescent="0.25">
      <c r="B171" s="37" t="s">
        <v>120</v>
      </c>
      <c r="C171" s="38">
        <v>46475</v>
      </c>
      <c r="D171" s="37" t="s">
        <v>51</v>
      </c>
      <c r="E171">
        <f>IF(C171="","",MONTH(C171))</f>
        <v>3</v>
      </c>
      <c r="F171">
        <f>IF(AND(C171&lt;&gt;"",YEAR(C171)=CalYear,OR(B171=CountryCode,B171="MY")),1,0)</f>
        <v>0</v>
      </c>
      <c r="G171" t="str">
        <f>IF(F171=1,E171*100+COUNTIFS($E$5:E171,E171,$F$5:F171,1),"")</f>
        <v/>
      </c>
      <c r="H171" t="str">
        <f>IF(F171=1,C171,"")</f>
        <v/>
      </c>
    </row>
    <row r="172" spans="2:8" x14ac:dyDescent="0.25">
      <c r="B172" s="37" t="s">
        <v>120</v>
      </c>
      <c r="C172" s="38">
        <v>46502</v>
      </c>
      <c r="D172" s="37" t="s">
        <v>125</v>
      </c>
      <c r="E172">
        <f>IF(C172="","",MONTH(C172))</f>
        <v>4</v>
      </c>
      <c r="F172">
        <f>IF(AND(C172&lt;&gt;"",YEAR(C172)=CalYear,OR(B172=CountryCode,B172="MY")),1,0)</f>
        <v>0</v>
      </c>
      <c r="G172" t="str">
        <f>IF(F172=1,E172*100+COUNTIFS($E$5:E172,E172,$F$5:F172,1),"")</f>
        <v/>
      </c>
      <c r="H172" t="str">
        <f>IF(F172=1,C172,"")</f>
        <v/>
      </c>
    </row>
    <row r="173" spans="2:8" x14ac:dyDescent="0.25">
      <c r="B173" s="37" t="s">
        <v>120</v>
      </c>
      <c r="C173" s="38">
        <v>46503</v>
      </c>
      <c r="D173" s="37" t="s">
        <v>126</v>
      </c>
      <c r="E173">
        <f>IF(C173="","",MONTH(C173))</f>
        <v>4</v>
      </c>
      <c r="F173">
        <f>IF(AND(C173&lt;&gt;"",YEAR(C173)=CalYear,OR(B173=CountryCode,B173="MY")),1,0)</f>
        <v>0</v>
      </c>
      <c r="G173" t="str">
        <f>IF(F173=1,E173*100+COUNTIFS($E$5:E173,E173,$F$5:F173,1),"")</f>
        <v/>
      </c>
      <c r="H173" t="str">
        <f>IF(F173=1,C173,"")</f>
        <v/>
      </c>
    </row>
    <row r="174" spans="2:8" x14ac:dyDescent="0.25">
      <c r="B174" s="37" t="s">
        <v>120</v>
      </c>
      <c r="C174" s="38">
        <v>46545</v>
      </c>
      <c r="D174" s="37" t="s">
        <v>127</v>
      </c>
      <c r="E174">
        <f>IF(C174="","",MONTH(C174))</f>
        <v>6</v>
      </c>
      <c r="F174">
        <f>IF(AND(C174&lt;&gt;"",YEAR(C174)=CalYear,OR(B174=CountryCode,B174="MY")),1,0)</f>
        <v>0</v>
      </c>
      <c r="G174" t="str">
        <f>IF(F174=1,E174*100+COUNTIFS($E$5:E174,E174,$F$5:F174,1),"")</f>
        <v/>
      </c>
      <c r="H174" t="str">
        <f>IF(F174=1,C174,"")</f>
        <v/>
      </c>
    </row>
    <row r="175" spans="2:8" x14ac:dyDescent="0.25">
      <c r="B175" s="37" t="s">
        <v>120</v>
      </c>
      <c r="C175" s="38">
        <v>46563</v>
      </c>
      <c r="D175" s="37" t="s">
        <v>128</v>
      </c>
      <c r="E175">
        <f>IF(C175="","",MONTH(C175))</f>
        <v>6</v>
      </c>
      <c r="F175">
        <f>IF(AND(C175&lt;&gt;"",YEAR(C175)=CalYear,OR(B175=CountryCode,B175="MY")),1,0)</f>
        <v>0</v>
      </c>
      <c r="G175" t="str">
        <f>IF(F175=1,E175*100+COUNTIFS($E$5:E175,E175,$F$5:F175,1),"")</f>
        <v/>
      </c>
      <c r="H175" t="str">
        <f>IF(F175=1,C175,"")</f>
        <v/>
      </c>
    </row>
    <row r="176" spans="2:8" x14ac:dyDescent="0.25">
      <c r="B176" s="37" t="s">
        <v>120</v>
      </c>
      <c r="C176" s="38">
        <v>46685</v>
      </c>
      <c r="D176" s="37" t="s">
        <v>37</v>
      </c>
      <c r="E176">
        <f>IF(C176="","",MONTH(C176))</f>
        <v>10</v>
      </c>
      <c r="F176">
        <f>IF(AND(C176&lt;&gt;"",YEAR(C176)=CalYear,OR(B176=CountryCode,B176="MY")),1,0)</f>
        <v>0</v>
      </c>
      <c r="G176" t="str">
        <f>IF(F176=1,E176*100+COUNTIFS($E$5:E176,E176,$F$5:F176,1),"")</f>
        <v/>
      </c>
      <c r="H176" t="str">
        <f>IF(F176=1,C176,"")</f>
        <v/>
      </c>
    </row>
    <row r="177" spans="2:8" x14ac:dyDescent="0.25">
      <c r="B177" s="37" t="s">
        <v>120</v>
      </c>
      <c r="C177" s="38">
        <v>46746</v>
      </c>
      <c r="D177" s="37" t="s">
        <v>46</v>
      </c>
      <c r="E177">
        <f>IF(C177="","",MONTH(C177))</f>
        <v>12</v>
      </c>
      <c r="F177">
        <f>IF(AND(C177&lt;&gt;"",YEAR(C177)=CalYear,OR(B177=CountryCode,B177="MY")),1,0)</f>
        <v>0</v>
      </c>
      <c r="G177" t="str">
        <f>IF(F177=1,E177*100+COUNTIFS($E$5:E177,E177,$F$5:F177,1),"")</f>
        <v/>
      </c>
      <c r="H177" t="str">
        <f>IF(F177=1,C177,"")</f>
        <v/>
      </c>
    </row>
    <row r="178" spans="2:8" x14ac:dyDescent="0.25">
      <c r="B178" s="37" t="s">
        <v>120</v>
      </c>
      <c r="C178" s="38">
        <v>46747</v>
      </c>
      <c r="D178" s="37" t="s">
        <v>53</v>
      </c>
      <c r="E178">
        <f>IF(C178="","",MONTH(C178))</f>
        <v>12</v>
      </c>
      <c r="F178">
        <f>IF(AND(C178&lt;&gt;"",YEAR(C178)=CalYear,OR(B178=CountryCode,B178="MY")),1,0)</f>
        <v>0</v>
      </c>
      <c r="G178" t="str">
        <f>IF(F178=1,E178*100+COUNTIFS($E$5:E178,E178,$F$5:F178,1),"")</f>
        <v/>
      </c>
      <c r="H178" t="str">
        <f>IF(F178=1,C178,"")</f>
        <v/>
      </c>
    </row>
    <row r="179" spans="2:8" x14ac:dyDescent="0.25">
      <c r="B179" s="37" t="s">
        <v>120</v>
      </c>
      <c r="C179" s="38">
        <v>46748</v>
      </c>
      <c r="D179" s="37" t="s">
        <v>54</v>
      </c>
      <c r="E179">
        <f>IF(C179="","",MONTH(C179))</f>
        <v>12</v>
      </c>
      <c r="F179">
        <f>IF(AND(C179&lt;&gt;"",YEAR(C179)=CalYear,OR(B179=CountryCode,B179="MY")),1,0)</f>
        <v>0</v>
      </c>
      <c r="G179" t="str">
        <f>IF(F179=1,E179*100+COUNTIFS($E$5:E179,E179,$F$5:F179,1),"")</f>
        <v/>
      </c>
      <c r="H179" t="str">
        <f>IF(F179=1,C179,"")</f>
        <v/>
      </c>
    </row>
    <row r="180" spans="2:8" x14ac:dyDescent="0.25">
      <c r="B180" s="37" t="s">
        <v>120</v>
      </c>
      <c r="C180" s="38">
        <v>46749</v>
      </c>
      <c r="D180" s="37" t="s">
        <v>55</v>
      </c>
      <c r="E180">
        <f>IF(C180="","",MONTH(C180))</f>
        <v>12</v>
      </c>
      <c r="F180">
        <f>IF(AND(C180&lt;&gt;"",YEAR(C180)=CalYear,OR(B180=CountryCode,B180="MY")),1,0)</f>
        <v>0</v>
      </c>
      <c r="G180" t="str">
        <f>IF(F180=1,E180*100+COUNTIFS($E$5:E180,E180,$F$5:F180,1),"")</f>
        <v/>
      </c>
      <c r="H180" t="str">
        <f>IF(F180=1,C180,"")</f>
        <v/>
      </c>
    </row>
    <row r="181" spans="2:8" x14ac:dyDescent="0.25">
      <c r="B181" s="37" t="s">
        <v>129</v>
      </c>
      <c r="C181" s="38">
        <v>46388</v>
      </c>
      <c r="D181" s="37" t="s">
        <v>31</v>
      </c>
      <c r="E181">
        <f>IF(C181="","",MONTH(C181))</f>
        <v>1</v>
      </c>
      <c r="F181">
        <f>IF(AND(C181&lt;&gt;"",YEAR(C181)=CalYear,OR(B181=CountryCode,B181="MY")),1,0)</f>
        <v>0</v>
      </c>
      <c r="G181" t="str">
        <f>IF(F181=1,E181*100+COUNTIFS($E$5:E181,E181,$F$5:F181,1),"")</f>
        <v/>
      </c>
      <c r="H181" t="str">
        <f>IF(F181=1,C181,"")</f>
        <v/>
      </c>
    </row>
    <row r="182" spans="2:8" x14ac:dyDescent="0.25">
      <c r="B182" s="37" t="s">
        <v>129</v>
      </c>
      <c r="C182" s="38">
        <v>46471</v>
      </c>
      <c r="D182" s="37" t="s">
        <v>79</v>
      </c>
      <c r="E182">
        <f>IF(C182="","",MONTH(C182))</f>
        <v>3</v>
      </c>
      <c r="F182">
        <f>IF(AND(C182&lt;&gt;"",YEAR(C182)=CalYear,OR(B182=CountryCode,B182="MY")),1,0)</f>
        <v>0</v>
      </c>
      <c r="G182" t="str">
        <f>IF(F182=1,E182*100+COUNTIFS($E$5:E182,E182,$F$5:F182,1),"")</f>
        <v/>
      </c>
      <c r="H182" t="str">
        <f>IF(F182=1,C182,"")</f>
        <v/>
      </c>
    </row>
    <row r="183" spans="2:8" x14ac:dyDescent="0.25">
      <c r="B183" s="37" t="s">
        <v>129</v>
      </c>
      <c r="C183" s="38">
        <v>46472</v>
      </c>
      <c r="D183" s="37" t="s">
        <v>35</v>
      </c>
      <c r="E183">
        <f>IF(C183="","",MONTH(C183))</f>
        <v>3</v>
      </c>
      <c r="F183">
        <f>IF(AND(C183&lt;&gt;"",YEAR(C183)=CalYear,OR(B183=CountryCode,B183="MY")),1,0)</f>
        <v>0</v>
      </c>
      <c r="G183" t="str">
        <f>IF(F183=1,E183*100+COUNTIFS($E$5:E183,E183,$F$5:F183,1),"")</f>
        <v/>
      </c>
      <c r="H183" t="str">
        <f>IF(F183=1,C183,"")</f>
        <v/>
      </c>
    </row>
    <row r="184" spans="2:8" x14ac:dyDescent="0.25">
      <c r="B184" s="37" t="s">
        <v>129</v>
      </c>
      <c r="C184" s="38">
        <v>46474</v>
      </c>
      <c r="D184" s="37" t="s">
        <v>50</v>
      </c>
      <c r="E184">
        <f>IF(C184="","",MONTH(C184))</f>
        <v>3</v>
      </c>
      <c r="F184">
        <f>IF(AND(C184&lt;&gt;"",YEAR(C184)=CalYear,OR(B184=CountryCode,B184="MY")),1,0)</f>
        <v>0</v>
      </c>
      <c r="G184" t="str">
        <f>IF(F184=1,E184*100+COUNTIFS($E$5:E184,E184,$F$5:F184,1),"")</f>
        <v/>
      </c>
      <c r="H184" t="str">
        <f>IF(F184=1,C184,"")</f>
        <v/>
      </c>
    </row>
    <row r="185" spans="2:8" x14ac:dyDescent="0.25">
      <c r="B185" s="37" t="s">
        <v>129</v>
      </c>
      <c r="C185" s="38">
        <v>46508</v>
      </c>
      <c r="D185" s="37" t="s">
        <v>37</v>
      </c>
      <c r="E185">
        <f>IF(C185="","",MONTH(C185))</f>
        <v>5</v>
      </c>
      <c r="F185">
        <f>IF(AND(C185&lt;&gt;"",YEAR(C185)=CalYear,OR(B185=CountryCode,B185="MY")),1,0)</f>
        <v>0</v>
      </c>
      <c r="G185" t="str">
        <f>IF(F185=1,E185*100+COUNTIFS($E$5:E185,E185,$F$5:F185,1),"")</f>
        <v/>
      </c>
      <c r="H185" t="str">
        <f>IF(F185=1,C185,"")</f>
        <v/>
      </c>
    </row>
    <row r="186" spans="2:8" x14ac:dyDescent="0.25">
      <c r="B186" s="37" t="s">
        <v>129</v>
      </c>
      <c r="C186" s="38">
        <v>46545</v>
      </c>
      <c r="D186" s="37" t="s">
        <v>130</v>
      </c>
      <c r="E186">
        <f>IF(C186="","",MONTH(C186))</f>
        <v>6</v>
      </c>
      <c r="F186">
        <f>IF(AND(C186&lt;&gt;"",YEAR(C186)=CalYear,OR(B186=CountryCode,B186="MY")),1,0)</f>
        <v>0</v>
      </c>
      <c r="G186" t="str">
        <f>IF(F186=1,E186*100+COUNTIFS($E$5:E186,E186,$F$5:F186,1),"")</f>
        <v/>
      </c>
      <c r="H186" t="str">
        <f>IF(F186=1,C186,"")</f>
        <v/>
      </c>
    </row>
    <row r="187" spans="2:8" x14ac:dyDescent="0.25">
      <c r="B187" s="37" t="s">
        <v>129</v>
      </c>
      <c r="C187" s="38">
        <v>46567</v>
      </c>
      <c r="D187" s="37" t="s">
        <v>67</v>
      </c>
      <c r="E187">
        <f>IF(C187="","",MONTH(C187))</f>
        <v>6</v>
      </c>
      <c r="F187">
        <f>IF(AND(C187&lt;&gt;"",YEAR(C187)=CalYear,OR(B187=CountryCode,B187="MY")),1,0)</f>
        <v>0</v>
      </c>
      <c r="G187" t="str">
        <f>IF(F187=1,E187*100+COUNTIFS($E$5:E187,E187,$F$5:F187,1),"")</f>
        <v/>
      </c>
      <c r="H187" t="str">
        <f>IF(F187=1,C187,"")</f>
        <v/>
      </c>
    </row>
    <row r="188" spans="2:8" x14ac:dyDescent="0.25">
      <c r="B188" s="37" t="s">
        <v>129</v>
      </c>
      <c r="C188" s="38">
        <v>46591</v>
      </c>
      <c r="D188" s="37" t="s">
        <v>131</v>
      </c>
      <c r="E188">
        <f>IF(C188="","",MONTH(C188))</f>
        <v>7</v>
      </c>
      <c r="F188">
        <f>IF(AND(C188&lt;&gt;"",YEAR(C188)=CalYear,OR(B188=CountryCode,B188="MY")),1,0)</f>
        <v>0</v>
      </c>
      <c r="G188" t="str">
        <f>IF(F188=1,E188*100+COUNTIFS($E$5:E188,E188,$F$5:F188,1),"")</f>
        <v/>
      </c>
      <c r="H188" t="str">
        <f>IF(F188=1,C188,"")</f>
        <v/>
      </c>
    </row>
    <row r="189" spans="2:8" x14ac:dyDescent="0.25">
      <c r="B189" s="37" t="s">
        <v>129</v>
      </c>
      <c r="C189" s="38">
        <v>46596</v>
      </c>
      <c r="D189" s="37" t="s">
        <v>41</v>
      </c>
      <c r="E189">
        <f>IF(C189="","",MONTH(C189))</f>
        <v>7</v>
      </c>
      <c r="F189">
        <f>IF(AND(C189&lt;&gt;"",YEAR(C189)=CalYear,OR(B189=CountryCode,B189="MY")),1,0)</f>
        <v>0</v>
      </c>
      <c r="G189" t="str">
        <f>IF(F189=1,E189*100+COUNTIFS($E$5:E189,E189,$F$5:F189,1),"")</f>
        <v/>
      </c>
      <c r="H189" t="str">
        <f>IF(F189=1,C189,"")</f>
        <v/>
      </c>
    </row>
    <row r="190" spans="2:8" x14ac:dyDescent="0.25">
      <c r="B190" s="37" t="s">
        <v>129</v>
      </c>
      <c r="C190" s="38">
        <v>46597</v>
      </c>
      <c r="D190" s="37" t="s">
        <v>41</v>
      </c>
      <c r="E190">
        <f>IF(C190="","",MONTH(C190))</f>
        <v>7</v>
      </c>
      <c r="F190">
        <f>IF(AND(C190&lt;&gt;"",YEAR(C190)=CalYear,OR(B190=CountryCode,B190="MY")),1,0)</f>
        <v>0</v>
      </c>
      <c r="G190" t="str">
        <f>IF(F190=1,E190*100+COUNTIFS($E$5:E190,E190,$F$5:F190,1),"")</f>
        <v/>
      </c>
      <c r="H190" t="str">
        <f>IF(F190=1,C190,"")</f>
        <v/>
      </c>
    </row>
    <row r="191" spans="2:8" x14ac:dyDescent="0.25">
      <c r="B191" s="37" t="s">
        <v>129</v>
      </c>
      <c r="C191" s="38">
        <v>46605</v>
      </c>
      <c r="D191" s="37" t="s">
        <v>132</v>
      </c>
      <c r="E191">
        <f>IF(C191="","",MONTH(C191))</f>
        <v>8</v>
      </c>
      <c r="F191">
        <f>IF(AND(C191&lt;&gt;"",YEAR(C191)=CalYear,OR(B191=CountryCode,B191="MY")),1,0)</f>
        <v>0</v>
      </c>
      <c r="G191" t="str">
        <f>IF(F191=1,E191*100+COUNTIFS($E$5:E191,E191,$F$5:F191,1),"")</f>
        <v/>
      </c>
      <c r="H191" t="str">
        <f>IF(F191=1,C191,"")</f>
        <v/>
      </c>
    </row>
    <row r="192" spans="2:8" x14ac:dyDescent="0.25">
      <c r="B192" s="37" t="s">
        <v>129</v>
      </c>
      <c r="C192" s="38">
        <v>46629</v>
      </c>
      <c r="D192" s="37" t="s">
        <v>133</v>
      </c>
      <c r="E192">
        <f>IF(C192="","",MONTH(C192))</f>
        <v>8</v>
      </c>
      <c r="F192">
        <f>IF(AND(C192&lt;&gt;"",YEAR(C192)=CalYear,OR(B192=CountryCode,B192="MY")),1,0)</f>
        <v>0</v>
      </c>
      <c r="G192" t="str">
        <f>IF(F192=1,E192*100+COUNTIFS($E$5:E192,E192,$F$5:F192,1),"")</f>
        <v/>
      </c>
      <c r="H192" t="str">
        <f>IF(F192=1,C192,"")</f>
        <v/>
      </c>
    </row>
    <row r="193" spans="2:8" x14ac:dyDescent="0.25">
      <c r="B193" s="37" t="s">
        <v>129</v>
      </c>
      <c r="C193" s="38">
        <v>46668</v>
      </c>
      <c r="D193" s="37" t="s">
        <v>134</v>
      </c>
      <c r="E193">
        <f>IF(C193="","",MONTH(C193))</f>
        <v>10</v>
      </c>
      <c r="F193">
        <f>IF(AND(C193&lt;&gt;"",YEAR(C193)=CalYear,OR(B193=CountryCode,B193="MY")),1,0)</f>
        <v>0</v>
      </c>
      <c r="G193" t="str">
        <f>IF(F193=1,E193*100+COUNTIFS($E$5:E193,E193,$F$5:F193,1),"")</f>
        <v/>
      </c>
      <c r="H193" t="str">
        <f>IF(F193=1,C193,"")</f>
        <v/>
      </c>
    </row>
    <row r="194" spans="2:8" x14ac:dyDescent="0.25">
      <c r="B194" s="37" t="s">
        <v>129</v>
      </c>
      <c r="C194" s="38">
        <v>46692</v>
      </c>
      <c r="D194" s="37" t="s">
        <v>74</v>
      </c>
      <c r="E194">
        <f>IF(C194="","",MONTH(C194))</f>
        <v>11</v>
      </c>
      <c r="F194">
        <f>IF(AND(C194&lt;&gt;"",YEAR(C194)=CalYear,OR(B194=CountryCode,B194="MY")),1,0)</f>
        <v>0</v>
      </c>
      <c r="G194" t="str">
        <f>IF(F194=1,E194*100+COUNTIFS($E$5:E194,E194,$F$5:F194,1),"")</f>
        <v/>
      </c>
      <c r="H194" t="str">
        <f>IF(F194=1,C194,"")</f>
        <v/>
      </c>
    </row>
    <row r="195" spans="2:8" x14ac:dyDescent="0.25">
      <c r="B195" s="37" t="s">
        <v>129</v>
      </c>
      <c r="C195" s="38">
        <v>46729</v>
      </c>
      <c r="D195" s="37" t="s">
        <v>75</v>
      </c>
      <c r="E195">
        <f>IF(C195="","",MONTH(C195))</f>
        <v>12</v>
      </c>
      <c r="F195">
        <f>IF(AND(C195&lt;&gt;"",YEAR(C195)=CalYear,OR(B195=CountryCode,B195="MY")),1,0)</f>
        <v>0</v>
      </c>
      <c r="G195" t="str">
        <f>IF(F195=1,E195*100+COUNTIFS($E$5:E195,E195,$F$5:F195,1),"")</f>
        <v/>
      </c>
      <c r="H195" t="str">
        <f>IF(F195=1,C195,"")</f>
        <v/>
      </c>
    </row>
    <row r="196" spans="2:8" x14ac:dyDescent="0.25">
      <c r="B196" s="37" t="s">
        <v>129</v>
      </c>
      <c r="C196" s="38">
        <v>46730</v>
      </c>
      <c r="D196" s="37" t="s">
        <v>135</v>
      </c>
      <c r="E196">
        <f>IF(C196="","",MONTH(C196))</f>
        <v>12</v>
      </c>
      <c r="F196">
        <f>IF(AND(C196&lt;&gt;"",YEAR(C196)=CalYear,OR(B196=CountryCode,B196="MY")),1,0)</f>
        <v>0</v>
      </c>
      <c r="G196" t="str">
        <f>IF(F196=1,E196*100+COUNTIFS($E$5:E196,E196,$F$5:F196,1),"")</f>
        <v/>
      </c>
      <c r="H196" t="str">
        <f>IF(F196=1,C196,"")</f>
        <v/>
      </c>
    </row>
    <row r="197" spans="2:8" x14ac:dyDescent="0.25">
      <c r="B197" s="37" t="s">
        <v>129</v>
      </c>
      <c r="C197" s="38">
        <v>46746</v>
      </c>
      <c r="D197" s="37" t="s">
        <v>46</v>
      </c>
      <c r="E197">
        <f>IF(C197="","",MONTH(C197))</f>
        <v>12</v>
      </c>
      <c r="F197">
        <f>IF(AND(C197&lt;&gt;"",YEAR(C197)=CalYear,OR(B197=CountryCode,B197="MY")),1,0)</f>
        <v>0</v>
      </c>
      <c r="G197" t="str">
        <f>IF(F197=1,E197*100+COUNTIFS($E$5:E197,E197,$F$5:F197,1),"")</f>
        <v/>
      </c>
      <c r="H197" t="str">
        <f>IF(F197=1,C197,"")</f>
        <v/>
      </c>
    </row>
    <row r="198" spans="2:8" x14ac:dyDescent="0.25">
      <c r="B198" s="37" t="s">
        <v>136</v>
      </c>
      <c r="C198" s="38">
        <v>46388</v>
      </c>
      <c r="D198" s="37" t="s">
        <v>31</v>
      </c>
      <c r="E198">
        <f>IF(C198="","",MONTH(C198))</f>
        <v>1</v>
      </c>
      <c r="F198">
        <f>IF(AND(C198&lt;&gt;"",YEAR(C198)=CalYear,OR(B198=CountryCode,B198="MY")),1,0)</f>
        <v>0</v>
      </c>
      <c r="G198" t="str">
        <f>IF(F198=1,E198*100+COUNTIFS($E$5:E198,E198,$F$5:F198,1),"")</f>
        <v/>
      </c>
      <c r="H198" t="str">
        <f>IF(F198=1,C198,"")</f>
        <v/>
      </c>
    </row>
    <row r="199" spans="2:8" x14ac:dyDescent="0.25">
      <c r="B199" s="37" t="s">
        <v>136</v>
      </c>
      <c r="C199" s="38">
        <v>46472</v>
      </c>
      <c r="D199" s="37" t="s">
        <v>35</v>
      </c>
      <c r="E199">
        <f>IF(C199="","",MONTH(C199))</f>
        <v>3</v>
      </c>
      <c r="F199">
        <f>IF(AND(C199&lt;&gt;"",YEAR(C199)=CalYear,OR(B199=CountryCode,B199="MY")),1,0)</f>
        <v>0</v>
      </c>
      <c r="G199" t="str">
        <f>IF(F199=1,E199*100+COUNTIFS($E$5:E199,E199,$F$5:F199,1),"")</f>
        <v/>
      </c>
      <c r="H199" t="str">
        <f>IF(F199=1,C199,"")</f>
        <v/>
      </c>
    </row>
    <row r="200" spans="2:8" x14ac:dyDescent="0.25">
      <c r="B200" s="37" t="s">
        <v>136</v>
      </c>
      <c r="C200" s="38">
        <v>46474</v>
      </c>
      <c r="D200" s="37" t="s">
        <v>50</v>
      </c>
      <c r="E200">
        <f>IF(C200="","",MONTH(C200))</f>
        <v>3</v>
      </c>
      <c r="F200">
        <f>IF(AND(C200&lt;&gt;"",YEAR(C200)=CalYear,OR(B200=CountryCode,B200="MY")),1,0)</f>
        <v>0</v>
      </c>
      <c r="G200" t="str">
        <f>IF(F200=1,E200*100+COUNTIFS($E$5:E200,E200,$F$5:F200,1),"")</f>
        <v/>
      </c>
      <c r="H200" t="str">
        <f>IF(F200=1,C200,"")</f>
        <v/>
      </c>
    </row>
    <row r="201" spans="2:8" x14ac:dyDescent="0.25">
      <c r="B201" s="37" t="s">
        <v>136</v>
      </c>
      <c r="C201" s="38">
        <v>46502</v>
      </c>
      <c r="D201" s="37" t="s">
        <v>137</v>
      </c>
      <c r="E201">
        <f>IF(C201="","",MONTH(C201))</f>
        <v>4</v>
      </c>
      <c r="F201">
        <f>IF(AND(C201&lt;&gt;"",YEAR(C201)=CalYear,OR(B201=CountryCode,B201="MY")),1,0)</f>
        <v>0</v>
      </c>
      <c r="G201" t="str">
        <f>IF(F201=1,E201*100+COUNTIFS($E$5:E201,E201,$F$5:F201,1),"")</f>
        <v/>
      </c>
      <c r="H201" t="str">
        <f>IF(F201=1,C201,"")</f>
        <v/>
      </c>
    </row>
    <row r="202" spans="2:8" x14ac:dyDescent="0.25">
      <c r="B202" s="37" t="s">
        <v>136</v>
      </c>
      <c r="C202" s="38">
        <v>46508</v>
      </c>
      <c r="D202" s="37" t="s">
        <v>37</v>
      </c>
      <c r="E202">
        <f>IF(C202="","",MONTH(C202))</f>
        <v>5</v>
      </c>
      <c r="F202">
        <f>IF(AND(C202&lt;&gt;"",YEAR(C202)=CalYear,OR(B202=CountryCode,B202="MY")),1,0)</f>
        <v>0</v>
      </c>
      <c r="G202" t="str">
        <f>IF(F202=1,E202*100+COUNTIFS($E$5:E202,E202,$F$5:F202,1),"")</f>
        <v/>
      </c>
      <c r="H202" t="str">
        <f>IF(F202=1,C202,"")</f>
        <v/>
      </c>
    </row>
    <row r="203" spans="2:8" x14ac:dyDescent="0.25">
      <c r="B203" s="37" t="s">
        <v>136</v>
      </c>
      <c r="C203" s="38">
        <v>46534</v>
      </c>
      <c r="D203" s="37" t="s">
        <v>81</v>
      </c>
      <c r="E203">
        <f>IF(C203="","",MONTH(C203))</f>
        <v>5</v>
      </c>
      <c r="F203">
        <f>IF(AND(C203&lt;&gt;"",YEAR(C203)=CalYear,OR(B203=CountryCode,B203="MY")),1,0)</f>
        <v>0</v>
      </c>
      <c r="G203" t="str">
        <f>IF(F203=1,E203*100+COUNTIFS($E$5:E203,E203,$F$5:F203,1),"")</f>
        <v/>
      </c>
      <c r="H203" t="str">
        <f>IF(F203=1,C203,"")</f>
        <v/>
      </c>
    </row>
    <row r="204" spans="2:8" x14ac:dyDescent="0.25">
      <c r="B204" s="37" t="s">
        <v>136</v>
      </c>
      <c r="C204" s="38">
        <v>46548</v>
      </c>
      <c r="D204" s="37" t="s">
        <v>138</v>
      </c>
      <c r="E204">
        <f>IF(C204="","",MONTH(C204))</f>
        <v>6</v>
      </c>
      <c r="F204">
        <f>IF(AND(C204&lt;&gt;"",YEAR(C204)=CalYear,OR(B204=CountryCode,B204="MY")),1,0)</f>
        <v>0</v>
      </c>
      <c r="G204" t="str">
        <f>IF(F204=1,E204*100+COUNTIFS($E$5:E204,E204,$F$5:F204,1),"")</f>
        <v/>
      </c>
      <c r="H204" t="str">
        <f>IF(F204=1,C204,"")</f>
        <v/>
      </c>
    </row>
    <row r="205" spans="2:8" x14ac:dyDescent="0.25">
      <c r="B205" s="37" t="s">
        <v>136</v>
      </c>
      <c r="C205" s="38">
        <v>46614</v>
      </c>
      <c r="D205" s="37" t="s">
        <v>69</v>
      </c>
      <c r="E205">
        <f>IF(C205="","",MONTH(C205))</f>
        <v>8</v>
      </c>
      <c r="F205">
        <f>IF(AND(C205&lt;&gt;"",YEAR(C205)=CalYear,OR(B205=CountryCode,B205="MY")),1,0)</f>
        <v>0</v>
      </c>
      <c r="G205" t="str">
        <f>IF(F205=1,E205*100+COUNTIFS($E$5:E205,E205,$F$5:F205,1),"")</f>
        <v/>
      </c>
      <c r="H205" t="str">
        <f>IF(F205=1,C205,"")</f>
        <v/>
      </c>
    </row>
    <row r="206" spans="2:8" x14ac:dyDescent="0.25">
      <c r="B206" s="37" t="s">
        <v>136</v>
      </c>
      <c r="C206" s="38">
        <v>46665</v>
      </c>
      <c r="D206" s="37" t="s">
        <v>139</v>
      </c>
      <c r="E206">
        <f>IF(C206="","",MONTH(C206))</f>
        <v>10</v>
      </c>
      <c r="F206">
        <f>IF(AND(C206&lt;&gt;"",YEAR(C206)=CalYear,OR(B206=CountryCode,B206="MY")),1,0)</f>
        <v>0</v>
      </c>
      <c r="G206" t="str">
        <f>IF(F206=1,E206*100+COUNTIFS($E$5:E206,E206,$F$5:F206,1),"")</f>
        <v/>
      </c>
      <c r="H206" t="str">
        <f>IF(F206=1,C206,"")</f>
        <v/>
      </c>
    </row>
    <row r="207" spans="2:8" x14ac:dyDescent="0.25">
      <c r="B207" s="37" t="s">
        <v>136</v>
      </c>
      <c r="C207" s="38">
        <v>46692</v>
      </c>
      <c r="D207" s="37" t="s">
        <v>74</v>
      </c>
      <c r="E207">
        <f>IF(C207="","",MONTH(C207))</f>
        <v>11</v>
      </c>
      <c r="F207">
        <f>IF(AND(C207&lt;&gt;"",YEAR(C207)=CalYear,OR(B207=CountryCode,B207="MY")),1,0)</f>
        <v>0</v>
      </c>
      <c r="G207" t="str">
        <f>IF(F207=1,E207*100+COUNTIFS($E$5:E207,E207,$F$5:F207,1),"")</f>
        <v/>
      </c>
      <c r="H207" t="str">
        <f>IF(F207=1,C207,"")</f>
        <v/>
      </c>
    </row>
    <row r="208" spans="2:8" x14ac:dyDescent="0.25">
      <c r="B208" s="37" t="s">
        <v>136</v>
      </c>
      <c r="C208" s="38">
        <v>46722</v>
      </c>
      <c r="D208" s="37" t="s">
        <v>140</v>
      </c>
      <c r="E208">
        <f>IF(C208="","",MONTH(C208))</f>
        <v>12</v>
      </c>
      <c r="F208">
        <f>IF(AND(C208&lt;&gt;"",YEAR(C208)=CalYear,OR(B208=CountryCode,B208="MY")),1,0)</f>
        <v>0</v>
      </c>
      <c r="G208" t="str">
        <f>IF(F208=1,E208*100+COUNTIFS($E$5:E208,E208,$F$5:F208,1),"")</f>
        <v/>
      </c>
      <c r="H208" t="str">
        <f>IF(F208=1,C208,"")</f>
        <v/>
      </c>
    </row>
    <row r="209" spans="2:8" x14ac:dyDescent="0.25">
      <c r="B209" s="37" t="s">
        <v>136</v>
      </c>
      <c r="C209" s="38">
        <v>46729</v>
      </c>
      <c r="D209" s="37" t="s">
        <v>75</v>
      </c>
      <c r="E209">
        <f>IF(C209="","",MONTH(C209))</f>
        <v>12</v>
      </c>
      <c r="F209">
        <f>IF(AND(C209&lt;&gt;"",YEAR(C209)=CalYear,OR(B209=CountryCode,B209="MY")),1,0)</f>
        <v>0</v>
      </c>
      <c r="G209" t="str">
        <f>IF(F209=1,E209*100+COUNTIFS($E$5:E209,E209,$F$5:F209,1),"")</f>
        <v/>
      </c>
      <c r="H209" t="str">
        <f>IF(F209=1,C209,"")</f>
        <v/>
      </c>
    </row>
    <row r="210" spans="2:8" x14ac:dyDescent="0.25">
      <c r="B210" s="37" t="s">
        <v>136</v>
      </c>
      <c r="C210" s="38">
        <v>46746</v>
      </c>
      <c r="D210" s="37" t="s">
        <v>46</v>
      </c>
      <c r="E210">
        <f>IF(C210="","",MONTH(C210))</f>
        <v>12</v>
      </c>
      <c r="F210">
        <f>IF(AND(C210&lt;&gt;"",YEAR(C210)=CalYear,OR(B210=CountryCode,B210="MY")),1,0)</f>
        <v>0</v>
      </c>
      <c r="G210" t="str">
        <f>IF(F210=1,E210*100+COUNTIFS($E$5:E210,E210,$F$5:F210,1),"")</f>
        <v/>
      </c>
      <c r="H210" t="str">
        <f>IF(F210=1,C210,"")</f>
        <v/>
      </c>
    </row>
    <row r="211" spans="2:8" x14ac:dyDescent="0.25">
      <c r="B211" s="37" t="s">
        <v>141</v>
      </c>
      <c r="C211" s="38">
        <v>46388</v>
      </c>
      <c r="D211" s="37" t="s">
        <v>31</v>
      </c>
      <c r="E211">
        <f>IF(C211="","",MONTH(C211))</f>
        <v>1</v>
      </c>
      <c r="F211">
        <f>IF(AND(C211&lt;&gt;"",YEAR(C211)=CalYear,OR(B211=CountryCode,B211="MY")),1,0)</f>
        <v>1</v>
      </c>
      <c r="G211">
        <f>IF(F211=1,E211*100+COUNTIFS($E$5:E211,E211,$F$5:F211,1),"")</f>
        <v>101</v>
      </c>
      <c r="H211">
        <f>IF(F211=1,C211,"")</f>
        <v>46388</v>
      </c>
    </row>
    <row r="212" spans="2:8" x14ac:dyDescent="0.25">
      <c r="B212" s="37" t="s">
        <v>141</v>
      </c>
      <c r="C212" s="38">
        <v>46405</v>
      </c>
      <c r="D212" s="37" t="s">
        <v>142</v>
      </c>
      <c r="E212">
        <f>IF(C212="","",MONTH(C212))</f>
        <v>1</v>
      </c>
      <c r="F212">
        <f>IF(AND(C212&lt;&gt;"",YEAR(C212)=CalYear,OR(B212=CountryCode,B212="MY")),1,0)</f>
        <v>1</v>
      </c>
      <c r="G212">
        <f>IF(F212=1,E212*100+COUNTIFS($E$5:E212,E212,$F$5:F212,1),"")</f>
        <v>102</v>
      </c>
      <c r="H212">
        <f>IF(F212=1,C212,"")</f>
        <v>46405</v>
      </c>
    </row>
    <row r="213" spans="2:8" x14ac:dyDescent="0.25">
      <c r="B213" s="37" t="s">
        <v>141</v>
      </c>
      <c r="C213" s="38">
        <v>46433</v>
      </c>
      <c r="D213" s="37" t="s">
        <v>143</v>
      </c>
      <c r="E213">
        <f>IF(C213="","",MONTH(C213))</f>
        <v>2</v>
      </c>
      <c r="F213">
        <f>IF(AND(C213&lt;&gt;"",YEAR(C213)=CalYear,OR(B213=CountryCode,B213="MY")),1,0)</f>
        <v>1</v>
      </c>
      <c r="G213">
        <f>IF(F213=1,E213*100+COUNTIFS($E$5:E213,E213,$F$5:F213,1),"")</f>
        <v>201</v>
      </c>
      <c r="H213">
        <f>IF(F213=1,C213,"")</f>
        <v>46433</v>
      </c>
    </row>
    <row r="214" spans="2:8" x14ac:dyDescent="0.25">
      <c r="B214" s="37" t="s">
        <v>141</v>
      </c>
      <c r="C214" s="38">
        <v>46538</v>
      </c>
      <c r="D214" s="37" t="s">
        <v>144</v>
      </c>
      <c r="E214">
        <f>IF(C214="","",MONTH(C214))</f>
        <v>5</v>
      </c>
      <c r="F214">
        <f>IF(AND(C214&lt;&gt;"",YEAR(C214)=CalYear,OR(B214=CountryCode,B214="MY")),1,0)</f>
        <v>1</v>
      </c>
      <c r="G214">
        <f>IF(F214=1,E214*100+COUNTIFS($E$5:E214,E214,$F$5:F214,1),"")</f>
        <v>501</v>
      </c>
      <c r="H214">
        <f>IF(F214=1,C214,"")</f>
        <v>46538</v>
      </c>
    </row>
    <row r="215" spans="2:8" x14ac:dyDescent="0.25">
      <c r="B215" s="37" t="s">
        <v>141</v>
      </c>
      <c r="C215" s="38">
        <v>46556</v>
      </c>
      <c r="D215" s="37" t="s">
        <v>145</v>
      </c>
      <c r="E215">
        <f>IF(C215="","",MONTH(C215))</f>
        <v>6</v>
      </c>
      <c r="F215">
        <f>IF(AND(C215&lt;&gt;"",YEAR(C215)=CalYear,OR(B215=CountryCode,B215="MY")),1,0)</f>
        <v>1</v>
      </c>
      <c r="G215">
        <f>IF(F215=1,E215*100+COUNTIFS($E$5:E215,E215,$F$5:F215,1),"")</f>
        <v>601</v>
      </c>
      <c r="H215">
        <f>IF(F215=1,C215,"")</f>
        <v>46556</v>
      </c>
    </row>
    <row r="216" spans="2:8" x14ac:dyDescent="0.25">
      <c r="B216" s="37" t="s">
        <v>141</v>
      </c>
      <c r="C216" s="38">
        <v>46557</v>
      </c>
      <c r="D216" s="37" t="s">
        <v>146</v>
      </c>
      <c r="E216">
        <f>IF(C216="","",MONTH(C216))</f>
        <v>6</v>
      </c>
      <c r="F216">
        <f>IF(AND(C216&lt;&gt;"",YEAR(C216)=CalYear,OR(B216=CountryCode,B216="MY")),1,0)</f>
        <v>1</v>
      </c>
      <c r="G216">
        <f>IF(F216=1,E216*100+COUNTIFS($E$5:E216,E216,$F$5:F216,1),"")</f>
        <v>602</v>
      </c>
      <c r="H216">
        <f>IF(F216=1,C216,"")</f>
        <v>46557</v>
      </c>
    </row>
    <row r="217" spans="2:8" x14ac:dyDescent="0.25">
      <c r="B217" s="37" t="s">
        <v>141</v>
      </c>
      <c r="C217" s="38">
        <v>46572</v>
      </c>
      <c r="D217" s="37" t="s">
        <v>41</v>
      </c>
      <c r="E217">
        <f>IF(C217="","",MONTH(C217))</f>
        <v>7</v>
      </c>
      <c r="F217">
        <f>IF(AND(C217&lt;&gt;"",YEAR(C217)=CalYear,OR(B217=CountryCode,B217="MY")),1,0)</f>
        <v>1</v>
      </c>
      <c r="G217">
        <f>IF(F217=1,E217*100+COUNTIFS($E$5:E217,E217,$F$5:F217,1),"")</f>
        <v>701</v>
      </c>
      <c r="H217">
        <f>IF(F217=1,C217,"")</f>
        <v>46572</v>
      </c>
    </row>
    <row r="218" spans="2:8" x14ac:dyDescent="0.25">
      <c r="B218" s="37" t="s">
        <v>141</v>
      </c>
      <c r="C218" s="38">
        <v>46573</v>
      </c>
      <c r="D218" s="37" t="s">
        <v>147</v>
      </c>
      <c r="E218">
        <f>IF(C218="","",MONTH(C218))</f>
        <v>7</v>
      </c>
      <c r="F218">
        <f>IF(AND(C218&lt;&gt;"",YEAR(C218)=CalYear,OR(B218=CountryCode,B218="MY")),1,0)</f>
        <v>1</v>
      </c>
      <c r="G218">
        <f>IF(F218=1,E218*100+COUNTIFS($E$5:E218,E218,$F$5:F218,1),"")</f>
        <v>702</v>
      </c>
      <c r="H218">
        <f>IF(F218=1,C218,"")</f>
        <v>46573</v>
      </c>
    </row>
    <row r="219" spans="2:8" x14ac:dyDescent="0.25">
      <c r="B219" s="37" t="s">
        <v>141</v>
      </c>
      <c r="C219" s="38">
        <v>46636</v>
      </c>
      <c r="D219" s="37" t="s">
        <v>37</v>
      </c>
      <c r="E219">
        <f>IF(C219="","",MONTH(C219))</f>
        <v>9</v>
      </c>
      <c r="F219">
        <f>IF(AND(C219&lt;&gt;"",YEAR(C219)=CalYear,OR(B219=CountryCode,B219="MY")),1,0)</f>
        <v>1</v>
      </c>
      <c r="G219">
        <f>IF(F219=1,E219*100+COUNTIFS($E$5:E219,E219,$F$5:F219,1),"")</f>
        <v>901</v>
      </c>
      <c r="H219">
        <f>IF(F219=1,C219,"")</f>
        <v>46636</v>
      </c>
    </row>
    <row r="220" spans="2:8" x14ac:dyDescent="0.25">
      <c r="B220" s="37" t="s">
        <v>141</v>
      </c>
      <c r="C220" s="38">
        <v>46671</v>
      </c>
      <c r="D220" s="37" t="s">
        <v>72</v>
      </c>
      <c r="E220">
        <f>IF(C220="","",MONTH(C220))</f>
        <v>10</v>
      </c>
      <c r="F220">
        <f>IF(AND(C220&lt;&gt;"",YEAR(C220)=CalYear,OR(B220=CountryCode,B220="MY")),1,0)</f>
        <v>1</v>
      </c>
      <c r="G220">
        <f>IF(F220=1,E220*100+COUNTIFS($E$5:E220,E220,$F$5:F220,1),"")</f>
        <v>1001</v>
      </c>
      <c r="H220">
        <f>IF(F220=1,C220,"")</f>
        <v>46671</v>
      </c>
    </row>
    <row r="221" spans="2:8" x14ac:dyDescent="0.25">
      <c r="B221" s="37" t="s">
        <v>141</v>
      </c>
      <c r="C221" s="38">
        <v>46702</v>
      </c>
      <c r="D221" s="37" t="s">
        <v>148</v>
      </c>
      <c r="E221">
        <f>IF(C221="","",MONTH(C221))</f>
        <v>11</v>
      </c>
      <c r="F221">
        <f>IF(AND(C221&lt;&gt;"",YEAR(C221)=CalYear,OR(B221=CountryCode,B221="MY")),1,0)</f>
        <v>1</v>
      </c>
      <c r="G221">
        <f>IF(F221=1,E221*100+COUNTIFS($E$5:E221,E221,$F$5:F221,1),"")</f>
        <v>1101</v>
      </c>
      <c r="H221">
        <f>IF(F221=1,C221,"")</f>
        <v>46702</v>
      </c>
    </row>
    <row r="222" spans="2:8" x14ac:dyDescent="0.25">
      <c r="B222" s="37" t="s">
        <v>141</v>
      </c>
      <c r="C222" s="38">
        <v>46716</v>
      </c>
      <c r="D222" s="37" t="s">
        <v>149</v>
      </c>
      <c r="E222">
        <f>IF(C222="","",MONTH(C222))</f>
        <v>11</v>
      </c>
      <c r="F222">
        <f>IF(AND(C222&lt;&gt;"",YEAR(C222)=CalYear,OR(B222=CountryCode,B222="MY")),1,0)</f>
        <v>1</v>
      </c>
      <c r="G222">
        <f>IF(F222=1,E222*100+COUNTIFS($E$5:E222,E222,$F$5:F222,1),"")</f>
        <v>1102</v>
      </c>
      <c r="H222">
        <f>IF(F222=1,C222,"")</f>
        <v>46716</v>
      </c>
    </row>
    <row r="223" spans="2:8" x14ac:dyDescent="0.25">
      <c r="B223" s="37" t="s">
        <v>141</v>
      </c>
      <c r="C223" s="38">
        <v>46745</v>
      </c>
      <c r="D223" s="37" t="s">
        <v>54</v>
      </c>
      <c r="E223">
        <f>IF(C223="","",MONTH(C223))</f>
        <v>12</v>
      </c>
      <c r="F223">
        <f>IF(AND(C223&lt;&gt;"",YEAR(C223)=CalYear,OR(B223=CountryCode,B223="MY")),1,0)</f>
        <v>1</v>
      </c>
      <c r="G223">
        <f>IF(F223=1,E223*100+COUNTIFS($E$5:E223,E223,$F$5:F223,1),"")</f>
        <v>1201</v>
      </c>
      <c r="H223">
        <f>IF(F223=1,C223,"")</f>
        <v>46745</v>
      </c>
    </row>
    <row r="224" spans="2:8" x14ac:dyDescent="0.25">
      <c r="B224" s="37" t="s">
        <v>141</v>
      </c>
      <c r="C224" s="38">
        <v>46746</v>
      </c>
      <c r="D224" s="37" t="s">
        <v>46</v>
      </c>
      <c r="E224">
        <f>IF(C224="","",MONTH(C224))</f>
        <v>12</v>
      </c>
      <c r="F224">
        <f>IF(AND(C224&lt;&gt;"",YEAR(C224)=CalYear,OR(B224=CountryCode,B224="MY")),1,0)</f>
        <v>1</v>
      </c>
      <c r="G224">
        <f>IF(F224=1,E224*100+COUNTIFS($E$5:E224,E224,$F$5:F224,1),"")</f>
        <v>1202</v>
      </c>
      <c r="H224">
        <f>IF(F224=1,C224,"")</f>
        <v>46746</v>
      </c>
    </row>
    <row r="225" spans="2:8" x14ac:dyDescent="0.25">
      <c r="B225" s="37" t="s">
        <v>141</v>
      </c>
      <c r="C225" s="38">
        <v>46752</v>
      </c>
      <c r="D225" s="37" t="s">
        <v>150</v>
      </c>
      <c r="E225">
        <f>IF(C225="","",MONTH(C225))</f>
        <v>12</v>
      </c>
      <c r="F225">
        <f>IF(AND(C225&lt;&gt;"",YEAR(C225)=CalYear,OR(B225=CountryCode,B225="MY")),1,0)</f>
        <v>1</v>
      </c>
      <c r="G225">
        <f>IF(F225=1,E225*100+COUNTIFS($E$5:E225,E225,$F$5:F225,1),"")</f>
        <v>1203</v>
      </c>
      <c r="H225">
        <f>IF(F225=1,C225,"")</f>
        <v>46752</v>
      </c>
    </row>
    <row r="226" spans="2:8" x14ac:dyDescent="0.25">
      <c r="B226" s="37" t="s">
        <v>151</v>
      </c>
      <c r="C226" s="38">
        <v>46388</v>
      </c>
      <c r="D226" s="37" t="s">
        <v>31</v>
      </c>
      <c r="E226">
        <f>IF(C226="","",MONTH(C226))</f>
        <v>1</v>
      </c>
      <c r="F226">
        <f>IF(AND(C226&lt;&gt;"",YEAR(C226)=CalYear,OR(B226=CountryCode,B226="MY")),1,0)</f>
        <v>0</v>
      </c>
      <c r="G226" t="str">
        <f>IF(F226=1,E226*100+COUNTIFS($E$5:E226,E226,$F$5:F226,1),"")</f>
        <v/>
      </c>
      <c r="H226" t="str">
        <f>IF(F226=1,C226,"")</f>
        <v/>
      </c>
    </row>
    <row r="227" spans="2:8" x14ac:dyDescent="0.25">
      <c r="B227" s="37" t="s">
        <v>151</v>
      </c>
      <c r="C227" s="38">
        <v>46471</v>
      </c>
      <c r="D227" s="37" t="s">
        <v>79</v>
      </c>
      <c r="E227">
        <f>IF(C227="","",MONTH(C227))</f>
        <v>3</v>
      </c>
      <c r="F227">
        <f>IF(AND(C227&lt;&gt;"",YEAR(C227)=CalYear,OR(B227=CountryCode,B227="MY")),1,0)</f>
        <v>0</v>
      </c>
      <c r="G227" t="str">
        <f>IF(F227=1,E227*100+COUNTIFS($E$5:E227,E227,$F$5:F227,1),"")</f>
        <v/>
      </c>
      <c r="H227" t="str">
        <f>IF(F227=1,C227,"")</f>
        <v/>
      </c>
    </row>
    <row r="228" spans="2:8" x14ac:dyDescent="0.25">
      <c r="B228" s="37" t="s">
        <v>151</v>
      </c>
      <c r="C228" s="38">
        <v>46472</v>
      </c>
      <c r="D228" s="37" t="s">
        <v>35</v>
      </c>
      <c r="E228">
        <f>IF(C228="","",MONTH(C228))</f>
        <v>3</v>
      </c>
      <c r="F228">
        <f>IF(AND(C228&lt;&gt;"",YEAR(C228)=CalYear,OR(B228=CountryCode,B228="MY")),1,0)</f>
        <v>0</v>
      </c>
      <c r="G228" t="str">
        <f>IF(F228=1,E228*100+COUNTIFS($E$5:E228,E228,$F$5:F228,1),"")</f>
        <v/>
      </c>
      <c r="H228" t="str">
        <f>IF(F228=1,C228,"")</f>
        <v/>
      </c>
    </row>
    <row r="229" spans="2:8" x14ac:dyDescent="0.25">
      <c r="B229" s="37" t="s">
        <v>151</v>
      </c>
      <c r="C229" s="38">
        <v>46508</v>
      </c>
      <c r="D229" s="37" t="s">
        <v>37</v>
      </c>
      <c r="E229">
        <f>IF(C229="","",MONTH(C229))</f>
        <v>5</v>
      </c>
      <c r="F229">
        <f>IF(AND(C229&lt;&gt;"",YEAR(C229)=CalYear,OR(B229=CountryCode,B229="MY")),1,0)</f>
        <v>0</v>
      </c>
      <c r="G229" t="str">
        <f>IF(F229=1,E229*100+COUNTIFS($E$5:E229,E229,$F$5:F229,1),"")</f>
        <v/>
      </c>
      <c r="H229" t="str">
        <f>IF(F229=1,C229,"")</f>
        <v/>
      </c>
    </row>
    <row r="230" spans="2:8" x14ac:dyDescent="0.25">
      <c r="B230" s="37" t="s">
        <v>151</v>
      </c>
      <c r="C230" s="38">
        <v>46586</v>
      </c>
      <c r="D230" s="37" t="s">
        <v>117</v>
      </c>
      <c r="E230">
        <f>IF(C230="","",MONTH(C230))</f>
        <v>7</v>
      </c>
      <c r="F230">
        <f>IF(AND(C230&lt;&gt;"",YEAR(C230)=CalYear,OR(B230=CountryCode,B230="MY")),1,0)</f>
        <v>0</v>
      </c>
      <c r="G230" t="str">
        <f>IF(F230=1,E230*100+COUNTIFS($E$5:E230,E230,$F$5:F230,1),"")</f>
        <v/>
      </c>
      <c r="H230" t="str">
        <f>IF(F230=1,C230,"")</f>
        <v/>
      </c>
    </row>
    <row r="231" spans="2:8" x14ac:dyDescent="0.25">
      <c r="B231" s="37" t="s">
        <v>151</v>
      </c>
      <c r="C231" s="38">
        <v>46624</v>
      </c>
      <c r="D231" s="37" t="s">
        <v>41</v>
      </c>
      <c r="E231">
        <f>IF(C231="","",MONTH(C231))</f>
        <v>8</v>
      </c>
      <c r="F231">
        <f>IF(AND(C231&lt;&gt;"",YEAR(C231)=CalYear,OR(B231=CountryCode,B231="MY")),1,0)</f>
        <v>0</v>
      </c>
      <c r="G231" t="str">
        <f>IF(F231=1,E231*100+COUNTIFS($E$5:E231,E231,$F$5:F231,1),"")</f>
        <v/>
      </c>
      <c r="H231" t="str">
        <f>IF(F231=1,C231,"")</f>
        <v/>
      </c>
    </row>
    <row r="232" spans="2:8" x14ac:dyDescent="0.25">
      <c r="B232" s="37" t="s">
        <v>151</v>
      </c>
      <c r="C232" s="38">
        <v>46746</v>
      </c>
      <c r="D232" s="37" t="s">
        <v>46</v>
      </c>
      <c r="E232">
        <f>IF(C232="","",MONTH(C232))</f>
        <v>12</v>
      </c>
      <c r="F232">
        <f>IF(AND(C232&lt;&gt;"",YEAR(C232)=CalYear,OR(B232=CountryCode,B232="MY")),1,0)</f>
        <v>0</v>
      </c>
      <c r="G232" t="str">
        <f>IF(F232=1,E232*100+COUNTIFS($E$5:E232,E232,$F$5:F232,1),"")</f>
        <v/>
      </c>
      <c r="H232" t="str">
        <f>IF(F232=1,C232,"")</f>
        <v/>
      </c>
    </row>
    <row r="233" spans="2:8" x14ac:dyDescent="0.25">
      <c r="B233" s="37"/>
      <c r="C233" s="38"/>
      <c r="D233" s="37"/>
      <c r="E233" t="str">
        <f>IF(C233="","",MONTH(C233))</f>
        <v/>
      </c>
      <c r="F233">
        <f>IF(AND(C233&lt;&gt;"",YEAR(C233)=CalYear,OR(B233=CountryCode,B233="MY")),1,0)</f>
        <v>0</v>
      </c>
      <c r="G233" t="str">
        <f>IF(F233=1,E233*100+COUNTIFS($E$5:E233,E233,$F$5:F233,1),"")</f>
        <v/>
      </c>
      <c r="H233" t="str">
        <f>IF(F233=1,C233,"")</f>
        <v/>
      </c>
    </row>
    <row r="234" spans="2:8" x14ac:dyDescent="0.25">
      <c r="B234" s="37"/>
      <c r="C234" s="38"/>
      <c r="D234" s="37"/>
      <c r="E234" t="str">
        <f>IF(C234="","",MONTH(C234))</f>
        <v/>
      </c>
      <c r="F234">
        <f>IF(AND(C234&lt;&gt;"",YEAR(C234)=CalYear,OR(B234=CountryCode,B234="MY")),1,0)</f>
        <v>0</v>
      </c>
      <c r="G234" t="str">
        <f>IF(F234=1,E234*100+COUNTIFS($E$5:E234,E234,$F$5:F234,1),"")</f>
        <v/>
      </c>
      <c r="H234" t="str">
        <f>IF(F234=1,C234,"")</f>
        <v/>
      </c>
    </row>
    <row r="235" spans="2:8" x14ac:dyDescent="0.25">
      <c r="B235" s="37"/>
      <c r="C235" s="38"/>
      <c r="D235" s="37"/>
      <c r="E235" t="str">
        <f>IF(C235="","",MONTH(C235))</f>
        <v/>
      </c>
      <c r="F235">
        <f>IF(AND(C235&lt;&gt;"",YEAR(C235)=CalYear,OR(B235=CountryCode,B235="MY")),1,0)</f>
        <v>0</v>
      </c>
      <c r="G235" t="str">
        <f>IF(F235=1,E235*100+COUNTIFS($E$5:E235,E235,$F$5:F235,1),"")</f>
        <v/>
      </c>
      <c r="H235" t="str">
        <f>IF(F235=1,C235,"")</f>
        <v/>
      </c>
    </row>
    <row r="236" spans="2:8" x14ac:dyDescent="0.25">
      <c r="B236" s="37"/>
      <c r="C236" s="38"/>
      <c r="D236" s="37"/>
      <c r="E236" t="str">
        <f>IF(C236="","",MONTH(C236))</f>
        <v/>
      </c>
      <c r="F236">
        <f>IF(AND(C236&lt;&gt;"",YEAR(C236)=CalYear,OR(B236=CountryCode,B236="MY")),1,0)</f>
        <v>0</v>
      </c>
      <c r="G236" t="str">
        <f>IF(F236=1,E236*100+COUNTIFS($E$5:E236,E236,$F$5:F236,1),"")</f>
        <v/>
      </c>
      <c r="H236" t="str">
        <f>IF(F236=1,C236,"")</f>
        <v/>
      </c>
    </row>
    <row r="237" spans="2:8" x14ac:dyDescent="0.25">
      <c r="B237" s="37"/>
      <c r="C237" s="38"/>
      <c r="D237" s="37"/>
      <c r="E237" t="str">
        <f>IF(C237="","",MONTH(C237))</f>
        <v/>
      </c>
      <c r="F237">
        <f>IF(AND(C237&lt;&gt;"",YEAR(C237)=CalYear,OR(B237=CountryCode,B237="MY")),1,0)</f>
        <v>0</v>
      </c>
      <c r="G237" t="str">
        <f>IF(F237=1,E237*100+COUNTIFS($E$5:E237,E237,$F$5:F237,1),"")</f>
        <v/>
      </c>
      <c r="H237" t="str">
        <f>IF(F237=1,C237,"")</f>
        <v/>
      </c>
    </row>
    <row r="238" spans="2:8" x14ac:dyDescent="0.25">
      <c r="B238" s="37"/>
      <c r="C238" s="38"/>
      <c r="D238" s="37"/>
      <c r="E238" t="str">
        <f>IF(C238="","",MONTH(C238))</f>
        <v/>
      </c>
      <c r="F238">
        <f>IF(AND(C238&lt;&gt;"",YEAR(C238)=CalYear,OR(B238=CountryCode,B238="MY")),1,0)</f>
        <v>0</v>
      </c>
      <c r="G238" t="str">
        <f>IF(F238=1,E238*100+COUNTIFS($E$5:E238,E238,$F$5:F238,1),"")</f>
        <v/>
      </c>
      <c r="H238" t="str">
        <f>IF(F238=1,C238,"")</f>
        <v/>
      </c>
    </row>
    <row r="239" spans="2:8" x14ac:dyDescent="0.25">
      <c r="B239" s="37"/>
      <c r="C239" s="38"/>
      <c r="D239" s="37"/>
      <c r="E239" t="str">
        <f>IF(C239="","",MONTH(C239))</f>
        <v/>
      </c>
      <c r="F239">
        <f>IF(AND(C239&lt;&gt;"",YEAR(C239)=CalYear,OR(B239=CountryCode,B239="MY")),1,0)</f>
        <v>0</v>
      </c>
      <c r="G239" t="str">
        <f>IF(F239=1,E239*100+COUNTIFS($E$5:E239,E239,$F$5:F239,1),"")</f>
        <v/>
      </c>
      <c r="H239" t="str">
        <f>IF(F239=1,C239,"")</f>
        <v/>
      </c>
    </row>
    <row r="240" spans="2:8" x14ac:dyDescent="0.25">
      <c r="B240" s="37"/>
      <c r="C240" s="38"/>
      <c r="D240" s="37"/>
      <c r="E240" t="str">
        <f>IF(C240="","",MONTH(C240))</f>
        <v/>
      </c>
      <c r="F240">
        <f>IF(AND(C240&lt;&gt;"",YEAR(C240)=CalYear,OR(B240=CountryCode,B240="MY")),1,0)</f>
        <v>0</v>
      </c>
      <c r="G240" t="str">
        <f>IF(F240=1,E240*100+COUNTIFS($E$5:E240,E240,$F$5:F240,1),"")</f>
        <v/>
      </c>
      <c r="H240" t="str">
        <f>IF(F240=1,C240,"")</f>
        <v/>
      </c>
    </row>
    <row r="241" spans="2:8" x14ac:dyDescent="0.25">
      <c r="B241" s="37"/>
      <c r="C241" s="38"/>
      <c r="D241" s="37"/>
      <c r="E241" t="str">
        <f>IF(C241="","",MONTH(C241))</f>
        <v/>
      </c>
      <c r="F241">
        <f>IF(AND(C241&lt;&gt;"",YEAR(C241)=CalYear,OR(B241=CountryCode,B241="MY")),1,0)</f>
        <v>0</v>
      </c>
      <c r="G241" t="str">
        <f>IF(F241=1,E241*100+COUNTIFS($E$5:E241,E241,$F$5:F241,1),"")</f>
        <v/>
      </c>
      <c r="H241" t="str">
        <f>IF(F241=1,C241,"")</f>
        <v/>
      </c>
    </row>
    <row r="242" spans="2:8" x14ac:dyDescent="0.25">
      <c r="B242" s="37"/>
      <c r="C242" s="38"/>
      <c r="D242" s="37"/>
      <c r="E242" t="str">
        <f>IF(C242="","",MONTH(C242))</f>
        <v/>
      </c>
      <c r="F242">
        <f>IF(AND(C242&lt;&gt;"",YEAR(C242)=CalYear,OR(B242=CountryCode,B242="MY")),1,0)</f>
        <v>0</v>
      </c>
      <c r="G242" t="str">
        <f>IF(F242=1,E242*100+COUNTIFS($E$5:E242,E242,$F$5:F242,1),"")</f>
        <v/>
      </c>
      <c r="H242" t="str">
        <f>IF(F242=1,C242,"")</f>
        <v/>
      </c>
    </row>
    <row r="243" spans="2:8" x14ac:dyDescent="0.25">
      <c r="B243" s="37"/>
      <c r="C243" s="38"/>
      <c r="D243" s="37"/>
      <c r="E243" t="str">
        <f>IF(C243="","",MONTH(C243))</f>
        <v/>
      </c>
      <c r="F243">
        <f>IF(AND(C243&lt;&gt;"",YEAR(C243)=CalYear,OR(B243=CountryCode,B243="MY")),1,0)</f>
        <v>0</v>
      </c>
      <c r="G243" t="str">
        <f>IF(F243=1,E243*100+COUNTIFS($E$5:E243,E243,$F$5:F243,1),"")</f>
        <v/>
      </c>
      <c r="H243" t="str">
        <f>IF(F243=1,C243,"")</f>
        <v/>
      </c>
    </row>
    <row r="244" spans="2:8" x14ac:dyDescent="0.25">
      <c r="B244" s="37"/>
      <c r="C244" s="38"/>
      <c r="D244" s="37"/>
      <c r="E244" t="str">
        <f>IF(C244="","",MONTH(C244))</f>
        <v/>
      </c>
      <c r="F244">
        <f>IF(AND(C244&lt;&gt;"",YEAR(C244)=CalYear,OR(B244=CountryCode,B244="MY")),1,0)</f>
        <v>0</v>
      </c>
      <c r="G244" t="str">
        <f>IF(F244=1,E244*100+COUNTIFS($E$5:E244,E244,$F$5:F244,1),"")</f>
        <v/>
      </c>
      <c r="H244" t="str">
        <f>IF(F244=1,C244,"")</f>
        <v/>
      </c>
    </row>
    <row r="245" spans="2:8" x14ac:dyDescent="0.25">
      <c r="B245" s="37"/>
      <c r="C245" s="38"/>
      <c r="D245" s="37"/>
      <c r="E245" t="str">
        <f>IF(C245="","",MONTH(C245))</f>
        <v/>
      </c>
      <c r="F245">
        <f>IF(AND(C245&lt;&gt;"",YEAR(C245)=CalYear,OR(B245=CountryCode,B245="MY")),1,0)</f>
        <v>0</v>
      </c>
      <c r="G245" t="str">
        <f>IF(F245=1,E245*100+COUNTIFS($E$5:E245,E245,$F$5:F245,1),"")</f>
        <v/>
      </c>
      <c r="H245" t="str">
        <f>IF(F245=1,C245,"")</f>
        <v/>
      </c>
    </row>
    <row r="246" spans="2:8" x14ac:dyDescent="0.25">
      <c r="B246" s="37"/>
      <c r="C246" s="38"/>
      <c r="D246" s="37"/>
      <c r="E246" t="str">
        <f>IF(C246="","",MONTH(C246))</f>
        <v/>
      </c>
      <c r="F246">
        <f>IF(AND(C246&lt;&gt;"",YEAR(C246)=CalYear,OR(B246=CountryCode,B246="MY")),1,0)</f>
        <v>0</v>
      </c>
      <c r="G246" t="str">
        <f>IF(F246=1,E246*100+COUNTIFS($E$5:E246,E246,$F$5:F246,1),"")</f>
        <v/>
      </c>
      <c r="H246" t="str">
        <f>IF(F246=1,C246,"")</f>
        <v/>
      </c>
    </row>
    <row r="247" spans="2:8" x14ac:dyDescent="0.25">
      <c r="B247" s="37"/>
      <c r="C247" s="38"/>
      <c r="D247" s="37"/>
      <c r="E247" t="str">
        <f>IF(C247="","",MONTH(C247))</f>
        <v/>
      </c>
      <c r="F247">
        <f>IF(AND(C247&lt;&gt;"",YEAR(C247)=CalYear,OR(B247=CountryCode,B247="MY")),1,0)</f>
        <v>0</v>
      </c>
      <c r="G247" t="str">
        <f>IF(F247=1,E247*100+COUNTIFS($E$5:E247,E247,$F$5:F247,1),"")</f>
        <v/>
      </c>
      <c r="H247" t="str">
        <f>IF(F247=1,C247,"")</f>
        <v/>
      </c>
    </row>
    <row r="248" spans="2:8" x14ac:dyDescent="0.25">
      <c r="B248" s="37"/>
      <c r="C248" s="38"/>
      <c r="D248" s="37"/>
      <c r="E248" t="str">
        <f>IF(C248="","",MONTH(C248))</f>
        <v/>
      </c>
      <c r="F248">
        <f>IF(AND(C248&lt;&gt;"",YEAR(C248)=CalYear,OR(B248=CountryCode,B248="MY")),1,0)</f>
        <v>0</v>
      </c>
      <c r="G248" t="str">
        <f>IF(F248=1,E248*100+COUNTIFS($E$5:E248,E248,$F$5:F248,1),"")</f>
        <v/>
      </c>
      <c r="H248" t="str">
        <f>IF(F248=1,C248,"")</f>
        <v/>
      </c>
    </row>
    <row r="249" spans="2:8" x14ac:dyDescent="0.25">
      <c r="B249" s="37"/>
      <c r="C249" s="38"/>
      <c r="D249" s="37"/>
      <c r="E249" t="str">
        <f>IF(C249="","",MONTH(C249))</f>
        <v/>
      </c>
      <c r="F249">
        <f>IF(AND(C249&lt;&gt;"",YEAR(C249)=CalYear,OR(B249=CountryCode,B249="MY")),1,0)</f>
        <v>0</v>
      </c>
      <c r="G249" t="str">
        <f>IF(F249=1,E249*100+COUNTIFS($E$5:E249,E249,$F$5:F249,1),"")</f>
        <v/>
      </c>
      <c r="H249" t="str">
        <f>IF(F249=1,C249,"")</f>
        <v/>
      </c>
    </row>
    <row r="250" spans="2:8" x14ac:dyDescent="0.25">
      <c r="B250" s="37"/>
      <c r="C250" s="38"/>
      <c r="D250" s="37"/>
      <c r="E250" t="str">
        <f>IF(C250="","",MONTH(C250))</f>
        <v/>
      </c>
      <c r="F250">
        <f>IF(AND(C250&lt;&gt;"",YEAR(C250)=CalYear,OR(B250=CountryCode,B250="MY")),1,0)</f>
        <v>0</v>
      </c>
      <c r="G250" t="str">
        <f>IF(F250=1,E250*100+COUNTIFS($E$5:E250,E250,$F$5:F250,1),"")</f>
        <v/>
      </c>
      <c r="H250" t="str">
        <f>IF(F250=1,C250,"")</f>
        <v/>
      </c>
    </row>
    <row r="251" spans="2:8" x14ac:dyDescent="0.25">
      <c r="B251" s="37"/>
      <c r="C251" s="38"/>
      <c r="D251" s="37"/>
      <c r="E251" t="str">
        <f>IF(C251="","",MONTH(C251))</f>
        <v/>
      </c>
      <c r="F251">
        <f>IF(AND(C251&lt;&gt;"",YEAR(C251)=CalYear,OR(B251=CountryCode,B251="MY")),1,0)</f>
        <v>0</v>
      </c>
      <c r="G251" t="str">
        <f>IF(F251=1,E251*100+COUNTIFS($E$5:E251,E251,$F$5:F251,1),"")</f>
        <v/>
      </c>
      <c r="H251" t="str">
        <f>IF(F251=1,C251,"")</f>
        <v/>
      </c>
    </row>
    <row r="252" spans="2:8" x14ac:dyDescent="0.25">
      <c r="B252" s="37"/>
      <c r="C252" s="38"/>
      <c r="D252" s="37"/>
      <c r="E252" t="str">
        <f>IF(C252="","",MONTH(C252))</f>
        <v/>
      </c>
      <c r="F252">
        <f>IF(AND(C252&lt;&gt;"",YEAR(C252)=CalYear,OR(B252=CountryCode,B252="MY")),1,0)</f>
        <v>0</v>
      </c>
      <c r="G252" t="str">
        <f>IF(F252=1,E252*100+COUNTIFS($E$5:E252,E252,$F$5:F252,1),"")</f>
        <v/>
      </c>
      <c r="H252" t="str">
        <f>IF(F252=1,C252,"")</f>
        <v/>
      </c>
    </row>
    <row r="253" spans="2:8" x14ac:dyDescent="0.25">
      <c r="B253" s="37"/>
      <c r="C253" s="38"/>
      <c r="D253" s="37"/>
      <c r="E253" t="str">
        <f>IF(C253="","",MONTH(C253))</f>
        <v/>
      </c>
      <c r="F253">
        <f>IF(AND(C253&lt;&gt;"",YEAR(C253)=CalYear,OR(B253=CountryCode,B253="MY")),1,0)</f>
        <v>0</v>
      </c>
      <c r="G253" t="str">
        <f>IF(F253=1,E253*100+COUNTIFS($E$5:E253,E253,$F$5:F253,1),"")</f>
        <v/>
      </c>
      <c r="H253" t="str">
        <f>IF(F253=1,C253,"")</f>
        <v/>
      </c>
    </row>
    <row r="254" spans="2:8" x14ac:dyDescent="0.25">
      <c r="B254" s="37"/>
      <c r="C254" s="38"/>
      <c r="D254" s="37"/>
      <c r="E254" t="str">
        <f>IF(C254="","",MONTH(C254))</f>
        <v/>
      </c>
      <c r="F254">
        <f>IF(AND(C254&lt;&gt;"",YEAR(C254)=CalYear,OR(B254=CountryCode,B254="MY")),1,0)</f>
        <v>0</v>
      </c>
      <c r="G254" t="str">
        <f>IF(F254=1,E254*100+COUNTIFS($E$5:E254,E254,$F$5:F254,1),"")</f>
        <v/>
      </c>
      <c r="H254" t="str">
        <f>IF(F254=1,C254,"")</f>
        <v/>
      </c>
    </row>
    <row r="255" spans="2:8" x14ac:dyDescent="0.25">
      <c r="B255" s="37"/>
      <c r="C255" s="38"/>
      <c r="D255" s="37"/>
      <c r="E255" t="str">
        <f>IF(C255="","",MONTH(C255))</f>
        <v/>
      </c>
      <c r="F255">
        <f>IF(AND(C255&lt;&gt;"",YEAR(C255)=CalYear,OR(B255=CountryCode,B255="MY")),1,0)</f>
        <v>0</v>
      </c>
      <c r="G255" t="str">
        <f>IF(F255=1,E255*100+COUNTIFS($E$5:E255,E255,$F$5:F255,1),"")</f>
        <v/>
      </c>
      <c r="H255" t="str">
        <f>IF(F255=1,C255,"")</f>
        <v/>
      </c>
    </row>
    <row r="256" spans="2:8" x14ac:dyDescent="0.25">
      <c r="B256" s="37"/>
      <c r="C256" s="38"/>
      <c r="D256" s="37"/>
      <c r="E256" t="str">
        <f>IF(C256="","",MONTH(C256))</f>
        <v/>
      </c>
      <c r="F256">
        <f>IF(AND(C256&lt;&gt;"",YEAR(C256)=CalYear,OR(B256=CountryCode,B256="MY")),1,0)</f>
        <v>0</v>
      </c>
      <c r="G256" t="str">
        <f>IF(F256=1,E256*100+COUNTIFS($E$5:E256,E256,$F$5:F256,1),"")</f>
        <v/>
      </c>
      <c r="H256" t="str">
        <f>IF(F256=1,C256,"")</f>
        <v/>
      </c>
    </row>
    <row r="257" spans="2:8" x14ac:dyDescent="0.25">
      <c r="B257" s="37"/>
      <c r="C257" s="38"/>
      <c r="D257" s="37"/>
      <c r="E257" t="str">
        <f>IF(C257="","",MONTH(C257))</f>
        <v/>
      </c>
      <c r="F257">
        <f>IF(AND(C257&lt;&gt;"",YEAR(C257)=CalYear,OR(B257=CountryCode,B257="MY")),1,0)</f>
        <v>0</v>
      </c>
      <c r="G257" t="str">
        <f>IF(F257=1,E257*100+COUNTIFS($E$5:E257,E257,$F$5:F257,1),"")</f>
        <v/>
      </c>
      <c r="H257" t="str">
        <f>IF(F257=1,C257,"")</f>
        <v/>
      </c>
    </row>
    <row r="258" spans="2:8" x14ac:dyDescent="0.25">
      <c r="B258" s="37"/>
      <c r="C258" s="38"/>
      <c r="D258" s="37"/>
      <c r="E258" t="str">
        <f>IF(C258="","",MONTH(C258))</f>
        <v/>
      </c>
      <c r="F258">
        <f>IF(AND(C258&lt;&gt;"",YEAR(C258)=CalYear,OR(B258=CountryCode,B258="MY")),1,0)</f>
        <v>0</v>
      </c>
      <c r="G258" t="str">
        <f>IF(F258=1,E258*100+COUNTIFS($E$5:E258,E258,$F$5:F258,1),"")</f>
        <v/>
      </c>
      <c r="H258" t="str">
        <f>IF(F258=1,C258,"")</f>
        <v/>
      </c>
    </row>
    <row r="259" spans="2:8" x14ac:dyDescent="0.25">
      <c r="B259" s="37"/>
      <c r="C259" s="38"/>
      <c r="D259" s="37"/>
      <c r="E259" t="str">
        <f>IF(C259="","",MONTH(C259))</f>
        <v/>
      </c>
      <c r="F259">
        <f>IF(AND(C259&lt;&gt;"",YEAR(C259)=CalYear,OR(B259=CountryCode,B259="MY")),1,0)</f>
        <v>0</v>
      </c>
      <c r="G259" t="str">
        <f>IF(F259=1,E259*100+COUNTIFS($E$5:E259,E259,$F$5:F259,1),"")</f>
        <v/>
      </c>
      <c r="H259" t="str">
        <f>IF(F259=1,C259,"")</f>
        <v/>
      </c>
    </row>
    <row r="260" spans="2:8" x14ac:dyDescent="0.25">
      <c r="B260" s="37"/>
      <c r="C260" s="38"/>
      <c r="D260" s="37"/>
      <c r="E260" t="str">
        <f>IF(C260="","",MONTH(C260))</f>
        <v/>
      </c>
      <c r="F260">
        <f>IF(AND(C260&lt;&gt;"",YEAR(C260)=CalYear,OR(B260=CountryCode,B260="MY")),1,0)</f>
        <v>0</v>
      </c>
      <c r="G260" t="str">
        <f>IF(F260=1,E260*100+COUNTIFS($E$5:E260,E260,$F$5:F260,1),"")</f>
        <v/>
      </c>
      <c r="H260" t="str">
        <f>IF(F260=1,C260,"")</f>
        <v/>
      </c>
    </row>
    <row r="261" spans="2:8" x14ac:dyDescent="0.25">
      <c r="B261" s="37"/>
      <c r="C261" s="38"/>
      <c r="D261" s="37"/>
      <c r="E261" t="str">
        <f>IF(C261="","",MONTH(C261))</f>
        <v/>
      </c>
      <c r="F261">
        <f>IF(AND(C261&lt;&gt;"",YEAR(C261)=CalYear,OR(B261=CountryCode,B261="MY")),1,0)</f>
        <v>0</v>
      </c>
      <c r="G261" t="str">
        <f>IF(F261=1,E261*100+COUNTIFS($E$5:E261,E261,$F$5:F261,1),"")</f>
        <v/>
      </c>
      <c r="H261" t="str">
        <f>IF(F261=1,C261,"")</f>
        <v/>
      </c>
    </row>
    <row r="262" spans="2:8" x14ac:dyDescent="0.25">
      <c r="B262" s="37"/>
      <c r="C262" s="38"/>
      <c r="D262" s="37"/>
      <c r="E262" t="str">
        <f>IF(C262="","",MONTH(C262))</f>
        <v/>
      </c>
      <c r="F262">
        <f>IF(AND(C262&lt;&gt;"",YEAR(C262)=CalYear,OR(B262=CountryCode,B262="MY")),1,0)</f>
        <v>0</v>
      </c>
      <c r="G262" t="str">
        <f>IF(F262=1,E262*100+COUNTIFS($E$5:E262,E262,$F$5:F262,1),"")</f>
        <v/>
      </c>
      <c r="H262" t="str">
        <f>IF(F262=1,C262,"")</f>
        <v/>
      </c>
    </row>
    <row r="263" spans="2:8" x14ac:dyDescent="0.25">
      <c r="B263" s="37"/>
      <c r="C263" s="38"/>
      <c r="D263" s="37"/>
      <c r="E263" t="str">
        <f>IF(C263="","",MONTH(C263))</f>
        <v/>
      </c>
      <c r="F263">
        <f>IF(AND(C263&lt;&gt;"",YEAR(C263)=CalYear,OR(B263=CountryCode,B263="MY")),1,0)</f>
        <v>0</v>
      </c>
      <c r="G263" t="str">
        <f>IF(F263=1,E263*100+COUNTIFS($E$5:E263,E263,$F$5:F263,1),"")</f>
        <v/>
      </c>
      <c r="H263" t="str">
        <f>IF(F263=1,C263,"")</f>
        <v/>
      </c>
    </row>
    <row r="264" spans="2:8" x14ac:dyDescent="0.25">
      <c r="B264" s="37"/>
      <c r="C264" s="38"/>
      <c r="D264" s="37"/>
      <c r="E264" t="str">
        <f>IF(C264="","",MONTH(C264))</f>
        <v/>
      </c>
      <c r="F264">
        <f>IF(AND(C264&lt;&gt;"",YEAR(C264)=CalYear,OR(B264=CountryCode,B264="MY")),1,0)</f>
        <v>0</v>
      </c>
      <c r="G264" t="str">
        <f>IF(F264=1,E264*100+COUNTIFS($E$5:E264,E264,$F$5:F264,1),"")</f>
        <v/>
      </c>
      <c r="H264" t="str">
        <f>IF(F264=1,C264,"")</f>
        <v/>
      </c>
    </row>
    <row r="265" spans="2:8" x14ac:dyDescent="0.25">
      <c r="B265" s="37"/>
      <c r="C265" s="38"/>
      <c r="D265" s="37"/>
      <c r="E265" t="str">
        <f>IF(C265="","",MONTH(C265))</f>
        <v/>
      </c>
      <c r="F265">
        <f>IF(AND(C265&lt;&gt;"",YEAR(C265)=CalYear,OR(B265=CountryCode,B265="MY")),1,0)</f>
        <v>0</v>
      </c>
      <c r="G265" t="str">
        <f>IF(F265=1,E265*100+COUNTIFS($E$5:E265,E265,$F$5:F265,1),"")</f>
        <v/>
      </c>
      <c r="H265" t="str">
        <f>IF(F265=1,C265,"")</f>
        <v/>
      </c>
    </row>
    <row r="266" spans="2:8" x14ac:dyDescent="0.25">
      <c r="B266" s="37"/>
      <c r="C266" s="38"/>
      <c r="D266" s="37"/>
      <c r="E266" t="str">
        <f>IF(C266="","",MONTH(C266))</f>
        <v/>
      </c>
      <c r="F266">
        <f>IF(AND(C266&lt;&gt;"",YEAR(C266)=CalYear,OR(B266=CountryCode,B266="MY")),1,0)</f>
        <v>0</v>
      </c>
      <c r="G266" t="str">
        <f>IF(F266=1,E266*100+COUNTIFS($E$5:E266,E266,$F$5:F266,1),"")</f>
        <v/>
      </c>
      <c r="H266" t="str">
        <f>IF(F266=1,C266,"")</f>
        <v/>
      </c>
    </row>
    <row r="267" spans="2:8" x14ac:dyDescent="0.25">
      <c r="B267" s="37"/>
      <c r="C267" s="38"/>
      <c r="D267" s="37"/>
      <c r="E267" t="str">
        <f>IF(C267="","",MONTH(C267))</f>
        <v/>
      </c>
      <c r="F267">
        <f>IF(AND(C267&lt;&gt;"",YEAR(C267)=CalYear,OR(B267=CountryCode,B267="MY")),1,0)</f>
        <v>0</v>
      </c>
      <c r="G267" t="str">
        <f>IF(F267=1,E267*100+COUNTIFS($E$5:E267,E267,$F$5:F267,1),"")</f>
        <v/>
      </c>
      <c r="H267" t="str">
        <f>IF(F267=1,C267,"")</f>
        <v/>
      </c>
    </row>
    <row r="268" spans="2:8" x14ac:dyDescent="0.25">
      <c r="B268" s="37"/>
      <c r="C268" s="38"/>
      <c r="D268" s="37"/>
      <c r="E268" t="str">
        <f>IF(C268="","",MONTH(C268))</f>
        <v/>
      </c>
      <c r="F268">
        <f>IF(AND(C268&lt;&gt;"",YEAR(C268)=CalYear,OR(B268=CountryCode,B268="MY")),1,0)</f>
        <v>0</v>
      </c>
      <c r="G268" t="str">
        <f>IF(F268=1,E268*100+COUNTIFS($E$5:E268,E268,$F$5:F268,1),"")</f>
        <v/>
      </c>
      <c r="H268" t="str">
        <f>IF(F268=1,C268,"")</f>
        <v/>
      </c>
    </row>
    <row r="269" spans="2:8" x14ac:dyDescent="0.25">
      <c r="B269" s="37"/>
      <c r="C269" s="38"/>
      <c r="D269" s="37"/>
      <c r="E269" t="str">
        <f>IF(C269="","",MONTH(C269))</f>
        <v/>
      </c>
      <c r="F269">
        <f>IF(AND(C269&lt;&gt;"",YEAR(C269)=CalYear,OR(B269=CountryCode,B269="MY")),1,0)</f>
        <v>0</v>
      </c>
      <c r="G269" t="str">
        <f>IF(F269=1,E269*100+COUNTIFS($E$5:E269,E269,$F$5:F269,1),"")</f>
        <v/>
      </c>
      <c r="H269" t="str">
        <f>IF(F269=1,C269,"")</f>
        <v/>
      </c>
    </row>
    <row r="270" spans="2:8" x14ac:dyDescent="0.25">
      <c r="B270" s="37"/>
      <c r="C270" s="38"/>
      <c r="D270" s="37"/>
      <c r="E270" t="str">
        <f>IF(C270="","",MONTH(C270))</f>
        <v/>
      </c>
      <c r="F270">
        <f>IF(AND(C270&lt;&gt;"",YEAR(C270)=CalYear,OR(B270=CountryCode,B270="MY")),1,0)</f>
        <v>0</v>
      </c>
      <c r="G270" t="str">
        <f>IF(F270=1,E270*100+COUNTIFS($E$5:E270,E270,$F$5:F270,1),"")</f>
        <v/>
      </c>
      <c r="H270" t="str">
        <f>IF(F270=1,C270,"")</f>
        <v/>
      </c>
    </row>
    <row r="271" spans="2:8" x14ac:dyDescent="0.25">
      <c r="B271" s="37"/>
      <c r="C271" s="38"/>
      <c r="D271" s="37"/>
      <c r="E271" t="str">
        <f>IF(C271="","",MONTH(C271))</f>
        <v/>
      </c>
      <c r="F271">
        <f>IF(AND(C271&lt;&gt;"",YEAR(C271)=CalYear,OR(B271=CountryCode,B271="MY")),1,0)</f>
        <v>0</v>
      </c>
      <c r="G271" t="str">
        <f>IF(F271=1,E271*100+COUNTIFS($E$5:E271,E271,$F$5:F271,1),"")</f>
        <v/>
      </c>
      <c r="H271" t="str">
        <f>IF(F271=1,C271,"")</f>
        <v/>
      </c>
    </row>
    <row r="272" spans="2:8" x14ac:dyDescent="0.25">
      <c r="B272" s="37"/>
      <c r="C272" s="38"/>
      <c r="D272" s="37"/>
      <c r="E272" t="str">
        <f>IF(C272="","",MONTH(C272))</f>
        <v/>
      </c>
      <c r="F272">
        <f>IF(AND(C272&lt;&gt;"",YEAR(C272)=CalYear,OR(B272=CountryCode,B272="MY")),1,0)</f>
        <v>0</v>
      </c>
      <c r="G272" t="str">
        <f>IF(F272=1,E272*100+COUNTIFS($E$5:E272,E272,$F$5:F272,1),"")</f>
        <v/>
      </c>
      <c r="H272" t="str">
        <f>IF(F272=1,C272,"")</f>
        <v/>
      </c>
    </row>
    <row r="273" spans="2:8" x14ac:dyDescent="0.25">
      <c r="B273" s="37"/>
      <c r="C273" s="38"/>
      <c r="D273" s="37"/>
      <c r="E273" t="str">
        <f>IF(C273="","",MONTH(C273))</f>
        <v/>
      </c>
      <c r="F273">
        <f>IF(AND(C273&lt;&gt;"",YEAR(C273)=CalYear,OR(B273=CountryCode,B273="MY")),1,0)</f>
        <v>0</v>
      </c>
      <c r="G273" t="str">
        <f>IF(F273=1,E273*100+COUNTIFS($E$5:E273,E273,$F$5:F273,1),"")</f>
        <v/>
      </c>
      <c r="H273" t="str">
        <f>IF(F273=1,C273,"")</f>
        <v/>
      </c>
    </row>
    <row r="274" spans="2:8" x14ac:dyDescent="0.25">
      <c r="B274" s="37"/>
      <c r="C274" s="38"/>
      <c r="D274" s="37"/>
      <c r="E274" t="str">
        <f>IF(C274="","",MONTH(C274))</f>
        <v/>
      </c>
      <c r="F274">
        <f>IF(AND(C274&lt;&gt;"",YEAR(C274)=CalYear,OR(B274=CountryCode,B274="MY")),1,0)</f>
        <v>0</v>
      </c>
      <c r="G274" t="str">
        <f>IF(F274=1,E274*100+COUNTIFS($E$5:E274,E274,$F$5:F274,1),"")</f>
        <v/>
      </c>
      <c r="H274" t="str">
        <f>IF(F274=1,C274,"")</f>
        <v/>
      </c>
    </row>
    <row r="275" spans="2:8" x14ac:dyDescent="0.25">
      <c r="B275" s="37"/>
      <c r="C275" s="38"/>
      <c r="D275" s="37"/>
      <c r="E275" t="str">
        <f>IF(C275="","",MONTH(C275))</f>
        <v/>
      </c>
      <c r="F275">
        <f>IF(AND(C275&lt;&gt;"",YEAR(C275)=CalYear,OR(B275=CountryCode,B275="MY")),1,0)</f>
        <v>0</v>
      </c>
      <c r="G275" t="str">
        <f>IF(F275=1,E275*100+COUNTIFS($E$5:E275,E275,$F$5:F275,1),"")</f>
        <v/>
      </c>
      <c r="H275" t="str">
        <f>IF(F275=1,C275,"")</f>
        <v/>
      </c>
    </row>
    <row r="276" spans="2:8" x14ac:dyDescent="0.25">
      <c r="B276" s="37"/>
      <c r="C276" s="38"/>
      <c r="D276" s="37"/>
      <c r="E276" t="str">
        <f>IF(C276="","",MONTH(C276))</f>
        <v/>
      </c>
      <c r="F276">
        <f>IF(AND(C276&lt;&gt;"",YEAR(C276)=CalYear,OR(B276=CountryCode,B276="MY")),1,0)</f>
        <v>0</v>
      </c>
      <c r="G276" t="str">
        <f>IF(F276=1,E276*100+COUNTIFS($E$5:E276,E276,$F$5:F276,1),"")</f>
        <v/>
      </c>
      <c r="H276" t="str">
        <f>IF(F276=1,C276,"")</f>
        <v/>
      </c>
    </row>
    <row r="277" spans="2:8" x14ac:dyDescent="0.25">
      <c r="B277" s="37"/>
      <c r="C277" s="38"/>
      <c r="D277" s="37"/>
      <c r="E277" t="str">
        <f>IF(C277="","",MONTH(C277))</f>
        <v/>
      </c>
      <c r="F277">
        <f>IF(AND(C277&lt;&gt;"",YEAR(C277)=CalYear,OR(B277=CountryCode,B277="MY")),1,0)</f>
        <v>0</v>
      </c>
      <c r="G277" t="str">
        <f>IF(F277=1,E277*100+COUNTIFS($E$5:E277,E277,$F$5:F277,1),"")</f>
        <v/>
      </c>
      <c r="H277" t="str">
        <f>IF(F277=1,C277,"")</f>
        <v/>
      </c>
    </row>
    <row r="278" spans="2:8" x14ac:dyDescent="0.25">
      <c r="B278" s="37"/>
      <c r="C278" s="38"/>
      <c r="D278" s="37"/>
      <c r="E278" t="str">
        <f>IF(C278="","",MONTH(C278))</f>
        <v/>
      </c>
      <c r="F278">
        <f>IF(AND(C278&lt;&gt;"",YEAR(C278)=CalYear,OR(B278=CountryCode,B278="MY")),1,0)</f>
        <v>0</v>
      </c>
      <c r="G278" t="str">
        <f>IF(F278=1,E278*100+COUNTIFS($E$5:E278,E278,$F$5:F278,1),"")</f>
        <v/>
      </c>
      <c r="H278" t="str">
        <f>IF(F278=1,C278,"")</f>
        <v/>
      </c>
    </row>
    <row r="279" spans="2:8" x14ac:dyDescent="0.25">
      <c r="B279" s="37"/>
      <c r="C279" s="38"/>
      <c r="D279" s="37"/>
      <c r="E279" t="str">
        <f>IF(C279="","",MONTH(C279))</f>
        <v/>
      </c>
      <c r="F279">
        <f>IF(AND(C279&lt;&gt;"",YEAR(C279)=CalYear,OR(B279=CountryCode,B279="MY")),1,0)</f>
        <v>0</v>
      </c>
      <c r="G279" t="str">
        <f>IF(F279=1,E279*100+COUNTIFS($E$5:E279,E279,$F$5:F279,1),"")</f>
        <v/>
      </c>
      <c r="H279" t="str">
        <f>IF(F279=1,C279,"")</f>
        <v/>
      </c>
    </row>
    <row r="280" spans="2:8" x14ac:dyDescent="0.25">
      <c r="B280" s="37"/>
      <c r="C280" s="38"/>
      <c r="D280" s="37"/>
      <c r="E280" t="str">
        <f>IF(C280="","",MONTH(C280))</f>
        <v/>
      </c>
      <c r="F280">
        <f>IF(AND(C280&lt;&gt;"",YEAR(C280)=CalYear,OR(B280=CountryCode,B280="MY")),1,0)</f>
        <v>0</v>
      </c>
      <c r="G280" t="str">
        <f>IF(F280=1,E280*100+COUNTIFS($E$5:E280,E280,$F$5:F280,1),"")</f>
        <v/>
      </c>
      <c r="H280" t="str">
        <f>IF(F280=1,C280,"")</f>
        <v/>
      </c>
    </row>
    <row r="281" spans="2:8" x14ac:dyDescent="0.25">
      <c r="B281" s="37"/>
      <c r="C281" s="38"/>
      <c r="D281" s="37"/>
      <c r="E281" t="str">
        <f>IF(C281="","",MONTH(C281))</f>
        <v/>
      </c>
      <c r="F281">
        <f>IF(AND(C281&lt;&gt;"",YEAR(C281)=CalYear,OR(B281=CountryCode,B281="MY")),1,0)</f>
        <v>0</v>
      </c>
      <c r="G281" t="str">
        <f>IF(F281=1,E281*100+COUNTIFS($E$5:E281,E281,$F$5:F281,1),"")</f>
        <v/>
      </c>
      <c r="H281" t="str">
        <f>IF(F281=1,C281,"")</f>
        <v/>
      </c>
    </row>
    <row r="282" spans="2:8" x14ac:dyDescent="0.25">
      <c r="B282" s="37"/>
      <c r="C282" s="38"/>
      <c r="D282" s="37"/>
      <c r="E282" t="str">
        <f>IF(C282="","",MONTH(C282))</f>
        <v/>
      </c>
      <c r="F282">
        <f>IF(AND(C282&lt;&gt;"",YEAR(C282)=CalYear,OR(B282=CountryCode,B282="MY")),1,0)</f>
        <v>0</v>
      </c>
      <c r="G282" t="str">
        <f>IF(F282=1,E282*100+COUNTIFS($E$5:E282,E282,$F$5:F282,1),"")</f>
        <v/>
      </c>
      <c r="H282" t="str">
        <f>IF(F282=1,C282,"")</f>
        <v/>
      </c>
    </row>
    <row r="283" spans="2:8" x14ac:dyDescent="0.25">
      <c r="B283" s="37"/>
      <c r="C283" s="38"/>
      <c r="D283" s="37"/>
      <c r="E283" t="str">
        <f>IF(C283="","",MONTH(C283))</f>
        <v/>
      </c>
      <c r="F283">
        <f>IF(AND(C283&lt;&gt;"",YEAR(C283)=CalYear,OR(B283=CountryCode,B283="MY")),1,0)</f>
        <v>0</v>
      </c>
      <c r="G283" t="str">
        <f>IF(F283=1,E283*100+COUNTIFS($E$5:E283,E283,$F$5:F283,1),"")</f>
        <v/>
      </c>
      <c r="H283" t="str">
        <f>IF(F283=1,C283,"")</f>
        <v/>
      </c>
    </row>
    <row r="284" spans="2:8" x14ac:dyDescent="0.25">
      <c r="B284" s="37"/>
      <c r="C284" s="38"/>
      <c r="D284" s="37"/>
      <c r="E284" t="str">
        <f>IF(C284="","",MONTH(C284))</f>
        <v/>
      </c>
      <c r="F284">
        <f>IF(AND(C284&lt;&gt;"",YEAR(C284)=CalYear,OR(B284=CountryCode,B284="MY")),1,0)</f>
        <v>0</v>
      </c>
      <c r="G284" t="str">
        <f>IF(F284=1,E284*100+COUNTIFS($E$5:E284,E284,$F$5:F284,1),"")</f>
        <v/>
      </c>
      <c r="H284" t="str">
        <f>IF(F284=1,C284,"")</f>
        <v/>
      </c>
    </row>
    <row r="285" spans="2:8" x14ac:dyDescent="0.25">
      <c r="B285" s="37"/>
      <c r="C285" s="38"/>
      <c r="D285" s="37"/>
      <c r="E285" t="str">
        <f>IF(C285="","",MONTH(C285))</f>
        <v/>
      </c>
      <c r="F285">
        <f>IF(AND(C285&lt;&gt;"",YEAR(C285)=CalYear,OR(B285=CountryCode,B285="MY")),1,0)</f>
        <v>0</v>
      </c>
      <c r="G285" t="str">
        <f>IF(F285=1,E285*100+COUNTIFS($E$5:E285,E285,$F$5:F285,1),"")</f>
        <v/>
      </c>
      <c r="H285" t="str">
        <f>IF(F285=1,C285,"")</f>
        <v/>
      </c>
    </row>
    <row r="286" spans="2:8" x14ac:dyDescent="0.25">
      <c r="B286" s="37"/>
      <c r="C286" s="38"/>
      <c r="D286" s="37"/>
      <c r="E286" t="str">
        <f>IF(C286="","",MONTH(C286))</f>
        <v/>
      </c>
      <c r="F286">
        <f>IF(AND(C286&lt;&gt;"",YEAR(C286)=CalYear,OR(B286=CountryCode,B286="MY")),1,0)</f>
        <v>0</v>
      </c>
      <c r="G286" t="str">
        <f>IF(F286=1,E286*100+COUNTIFS($E$5:E286,E286,$F$5:F286,1),"")</f>
        <v/>
      </c>
      <c r="H286" t="str">
        <f>IF(F286=1,C286,"")</f>
        <v/>
      </c>
    </row>
    <row r="287" spans="2:8" x14ac:dyDescent="0.25">
      <c r="B287" s="37"/>
      <c r="C287" s="38"/>
      <c r="D287" s="37"/>
      <c r="E287" t="str">
        <f>IF(C287="","",MONTH(C287))</f>
        <v/>
      </c>
      <c r="F287">
        <f>IF(AND(C287&lt;&gt;"",YEAR(C287)=CalYear,OR(B287=CountryCode,B287="MY")),1,0)</f>
        <v>0</v>
      </c>
      <c r="G287" t="str">
        <f>IF(F287=1,E287*100+COUNTIFS($E$5:E287,E287,$F$5:F287,1),"")</f>
        <v/>
      </c>
      <c r="H287" t="str">
        <f>IF(F287=1,C287,"")</f>
        <v/>
      </c>
    </row>
    <row r="288" spans="2:8" x14ac:dyDescent="0.25">
      <c r="B288" s="37"/>
      <c r="C288" s="38"/>
      <c r="D288" s="37"/>
      <c r="E288" t="str">
        <f>IF(C288="","",MONTH(C288))</f>
        <v/>
      </c>
      <c r="F288">
        <f>IF(AND(C288&lt;&gt;"",YEAR(C288)=CalYear,OR(B288=CountryCode,B288="MY")),1,0)</f>
        <v>0</v>
      </c>
      <c r="G288" t="str">
        <f>IF(F288=1,E288*100+COUNTIFS($E$5:E288,E288,$F$5:F288,1),"")</f>
        <v/>
      </c>
      <c r="H288" t="str">
        <f>IF(F288=1,C288,"")</f>
        <v/>
      </c>
    </row>
    <row r="289" spans="2:8" x14ac:dyDescent="0.25">
      <c r="B289" s="37"/>
      <c r="C289" s="38"/>
      <c r="D289" s="37"/>
      <c r="E289" t="str">
        <f>IF(C289="","",MONTH(C289))</f>
        <v/>
      </c>
      <c r="F289">
        <f>IF(AND(C289&lt;&gt;"",YEAR(C289)=CalYear,OR(B289=CountryCode,B289="MY")),1,0)</f>
        <v>0</v>
      </c>
      <c r="G289" t="str">
        <f>IF(F289=1,E289*100+COUNTIFS($E$5:E289,E289,$F$5:F289,1),"")</f>
        <v/>
      </c>
      <c r="H289" t="str">
        <f>IF(F289=1,C289,"")</f>
        <v/>
      </c>
    </row>
    <row r="290" spans="2:8" x14ac:dyDescent="0.25">
      <c r="B290" s="37"/>
      <c r="C290" s="38"/>
      <c r="D290" s="37"/>
      <c r="E290" t="str">
        <f>IF(C290="","",MONTH(C290))</f>
        <v/>
      </c>
      <c r="F290">
        <f>IF(AND(C290&lt;&gt;"",YEAR(C290)=CalYear,OR(B290=CountryCode,B290="MY")),1,0)</f>
        <v>0</v>
      </c>
      <c r="G290" t="str">
        <f>IF(F290=1,E290*100+COUNTIFS($E$5:E290,E290,$F$5:F290,1),"")</f>
        <v/>
      </c>
      <c r="H290" t="str">
        <f>IF(F290=1,C290,"")</f>
        <v/>
      </c>
    </row>
    <row r="291" spans="2:8" x14ac:dyDescent="0.25">
      <c r="B291" s="37"/>
      <c r="C291" s="38"/>
      <c r="D291" s="37"/>
      <c r="E291" t="str">
        <f>IF(C291="","",MONTH(C291))</f>
        <v/>
      </c>
      <c r="F291">
        <f>IF(AND(C291&lt;&gt;"",YEAR(C291)=CalYear,OR(B291=CountryCode,B291="MY")),1,0)</f>
        <v>0</v>
      </c>
      <c r="G291" t="str">
        <f>IF(F291=1,E291*100+COUNTIFS($E$5:E291,E291,$F$5:F291,1),"")</f>
        <v/>
      </c>
      <c r="H291" t="str">
        <f>IF(F291=1,C291,"")</f>
        <v/>
      </c>
    </row>
    <row r="292" spans="2:8" x14ac:dyDescent="0.25">
      <c r="B292" s="37"/>
      <c r="C292" s="38"/>
      <c r="D292" s="37"/>
      <c r="E292" t="str">
        <f>IF(C292="","",MONTH(C292))</f>
        <v/>
      </c>
      <c r="F292">
        <f>IF(AND(C292&lt;&gt;"",YEAR(C292)=CalYear,OR(B292=CountryCode,B292="MY")),1,0)</f>
        <v>0</v>
      </c>
      <c r="G292" t="str">
        <f>IF(F292=1,E292*100+COUNTIFS($E$5:E292,E292,$F$5:F292,1),"")</f>
        <v/>
      </c>
      <c r="H292" t="str">
        <f>IF(F292=1,C292,"")</f>
        <v/>
      </c>
    </row>
    <row r="293" spans="2:8" x14ac:dyDescent="0.25">
      <c r="B293" s="37"/>
      <c r="C293" s="38"/>
      <c r="D293" s="37"/>
      <c r="E293" t="str">
        <f>IF(C293="","",MONTH(C293))</f>
        <v/>
      </c>
      <c r="F293">
        <f>IF(AND(C293&lt;&gt;"",YEAR(C293)=CalYear,OR(B293=CountryCode,B293="MY")),1,0)</f>
        <v>0</v>
      </c>
      <c r="G293" t="str">
        <f>IF(F293=1,E293*100+COUNTIFS($E$5:E293,E293,$F$5:F293,1),"")</f>
        <v/>
      </c>
      <c r="H293" t="str">
        <f>IF(F293=1,C293,"")</f>
        <v/>
      </c>
    </row>
    <row r="294" spans="2:8" x14ac:dyDescent="0.25">
      <c r="B294" s="37"/>
      <c r="C294" s="38"/>
      <c r="D294" s="37"/>
      <c r="E294" t="str">
        <f>IF(C294="","",MONTH(C294))</f>
        <v/>
      </c>
      <c r="F294">
        <f>IF(AND(C294&lt;&gt;"",YEAR(C294)=CalYear,OR(B294=CountryCode,B294="MY")),1,0)</f>
        <v>0</v>
      </c>
      <c r="G294" t="str">
        <f>IF(F294=1,E294*100+COUNTIFS($E$5:E294,E294,$F$5:F294,1),"")</f>
        <v/>
      </c>
      <c r="H294" t="str">
        <f>IF(F294=1,C294,"")</f>
        <v/>
      </c>
    </row>
    <row r="295" spans="2:8" x14ac:dyDescent="0.25">
      <c r="B295" s="37"/>
      <c r="C295" s="38"/>
      <c r="D295" s="37"/>
      <c r="E295" t="str">
        <f>IF(C295="","",MONTH(C295))</f>
        <v/>
      </c>
      <c r="F295">
        <f>IF(AND(C295&lt;&gt;"",YEAR(C295)=CalYear,OR(B295=CountryCode,B295="MY")),1,0)</f>
        <v>0</v>
      </c>
      <c r="G295" t="str">
        <f>IF(F295=1,E295*100+COUNTIFS($E$5:E295,E295,$F$5:F295,1),"")</f>
        <v/>
      </c>
      <c r="H295" t="str">
        <f>IF(F295=1,C295,"")</f>
        <v/>
      </c>
    </row>
    <row r="296" spans="2:8" x14ac:dyDescent="0.25">
      <c r="B296" s="37"/>
      <c r="C296" s="38"/>
      <c r="D296" s="37"/>
      <c r="E296" t="str">
        <f>IF(C296="","",MONTH(C296))</f>
        <v/>
      </c>
      <c r="F296">
        <f>IF(AND(C296&lt;&gt;"",YEAR(C296)=CalYear,OR(B296=CountryCode,B296="MY")),1,0)</f>
        <v>0</v>
      </c>
      <c r="G296" t="str">
        <f>IF(F296=1,E296*100+COUNTIFS($E$5:E296,E296,$F$5:F296,1),"")</f>
        <v/>
      </c>
      <c r="H296" t="str">
        <f>IF(F296=1,C296,"")</f>
        <v/>
      </c>
    </row>
    <row r="297" spans="2:8" x14ac:dyDescent="0.25">
      <c r="B297" s="37"/>
      <c r="C297" s="38"/>
      <c r="D297" s="37"/>
      <c r="E297" t="str">
        <f>IF(C297="","",MONTH(C297))</f>
        <v/>
      </c>
      <c r="F297">
        <f>IF(AND(C297&lt;&gt;"",YEAR(C297)=CalYear,OR(B297=CountryCode,B297="MY")),1,0)</f>
        <v>0</v>
      </c>
      <c r="G297" t="str">
        <f>IF(F297=1,E297*100+COUNTIFS($E$5:E297,E297,$F$5:F297,1),"")</f>
        <v/>
      </c>
      <c r="H297" t="str">
        <f>IF(F297=1,C297,"")</f>
        <v/>
      </c>
    </row>
    <row r="298" spans="2:8" x14ac:dyDescent="0.25">
      <c r="B298" s="37"/>
      <c r="C298" s="38"/>
      <c r="D298" s="37"/>
      <c r="E298" t="str">
        <f>IF(C298="","",MONTH(C298))</f>
        <v/>
      </c>
      <c r="F298">
        <f>IF(AND(C298&lt;&gt;"",YEAR(C298)=CalYear,OR(B298=CountryCode,B298="MY")),1,0)</f>
        <v>0</v>
      </c>
      <c r="G298" t="str">
        <f>IF(F298=1,E298*100+COUNTIFS($E$5:E298,E298,$F$5:F298,1),"")</f>
        <v/>
      </c>
      <c r="H298" t="str">
        <f>IF(F298=1,C298,"")</f>
        <v/>
      </c>
    </row>
    <row r="299" spans="2:8" x14ac:dyDescent="0.25">
      <c r="B299" s="37"/>
      <c r="C299" s="38"/>
      <c r="D299" s="37"/>
      <c r="E299" t="str">
        <f>IF(C299="","",MONTH(C299))</f>
        <v/>
      </c>
      <c r="F299">
        <f>IF(AND(C299&lt;&gt;"",YEAR(C299)=CalYear,OR(B299=CountryCode,B299="MY")),1,0)</f>
        <v>0</v>
      </c>
      <c r="G299" t="str">
        <f>IF(F299=1,E299*100+COUNTIFS($E$5:E299,E299,$F$5:F299,1),"")</f>
        <v/>
      </c>
      <c r="H299" t="str">
        <f>IF(F299=1,C299,"")</f>
        <v/>
      </c>
    </row>
    <row r="300" spans="2:8" x14ac:dyDescent="0.25">
      <c r="B300" s="37"/>
      <c r="C300" s="38"/>
      <c r="D300" s="37"/>
      <c r="E300" t="str">
        <f>IF(C300="","",MONTH(C300))</f>
        <v/>
      </c>
      <c r="F300">
        <f>IF(AND(C300&lt;&gt;"",YEAR(C300)=CalYear,OR(B300=CountryCode,B300="MY")),1,0)</f>
        <v>0</v>
      </c>
      <c r="G300" t="str">
        <f>IF(F300=1,E300*100+COUNTIFS($E$5:E300,E300,$F$5:F300,1),"")</f>
        <v/>
      </c>
      <c r="H300" t="str">
        <f>IF(F300=1,C300,"")</f>
        <v/>
      </c>
    </row>
    <row r="301" spans="2:8" x14ac:dyDescent="0.25">
      <c r="B301" s="37"/>
      <c r="C301" s="38"/>
      <c r="D301" s="37"/>
      <c r="E301" t="str">
        <f>IF(C301="","",MONTH(C301))</f>
        <v/>
      </c>
      <c r="F301">
        <f>IF(AND(C301&lt;&gt;"",YEAR(C301)=CalYear,OR(B301=CountryCode,B301="MY")),1,0)</f>
        <v>0</v>
      </c>
      <c r="G301" t="str">
        <f>IF(F301=1,E301*100+COUNTIFS($E$5:E301,E301,$F$5:F301,1),"")</f>
        <v/>
      </c>
      <c r="H301" t="str">
        <f>IF(F301=1,C301,"")</f>
        <v/>
      </c>
    </row>
    <row r="302" spans="2:8" x14ac:dyDescent="0.25">
      <c r="B302" s="37"/>
      <c r="C302" s="38"/>
      <c r="D302" s="37"/>
      <c r="E302" t="str">
        <f>IF(C302="","",MONTH(C302))</f>
        <v/>
      </c>
      <c r="F302">
        <f>IF(AND(C302&lt;&gt;"",YEAR(C302)=CalYear,OR(B302=CountryCode,B302="MY")),1,0)</f>
        <v>0</v>
      </c>
      <c r="G302" t="str">
        <f>IF(F302=1,E302*100+COUNTIFS($E$5:E302,E302,$F$5:F302,1),"")</f>
        <v/>
      </c>
      <c r="H302" t="str">
        <f>IF(F302=1,C302,"")</f>
        <v/>
      </c>
    </row>
    <row r="303" spans="2:8" x14ac:dyDescent="0.25">
      <c r="B303" s="37"/>
      <c r="C303" s="38"/>
      <c r="D303" s="37"/>
      <c r="E303" t="str">
        <f>IF(C303="","",MONTH(C303))</f>
        <v/>
      </c>
      <c r="F303">
        <f>IF(AND(C303&lt;&gt;"",YEAR(C303)=CalYear,OR(B303=CountryCode,B303="MY")),1,0)</f>
        <v>0</v>
      </c>
      <c r="G303" t="str">
        <f>IF(F303=1,E303*100+COUNTIFS($E$5:E303,E303,$F$5:F303,1),"")</f>
        <v/>
      </c>
      <c r="H303" t="str">
        <f>IF(F303=1,C303,"")</f>
        <v/>
      </c>
    </row>
    <row r="304" spans="2:8" x14ac:dyDescent="0.25">
      <c r="B304" s="37"/>
      <c r="C304" s="38"/>
      <c r="D304" s="37"/>
      <c r="E304" t="str">
        <f>IF(C304="","",MONTH(C304))</f>
        <v/>
      </c>
      <c r="F304">
        <f>IF(AND(C304&lt;&gt;"",YEAR(C304)=CalYear,OR(B304=CountryCode,B304="MY")),1,0)</f>
        <v>0</v>
      </c>
      <c r="G304" t="str">
        <f>IF(F304=1,E304*100+COUNTIFS($E$5:E304,E304,$F$5:F304,1),"")</f>
        <v/>
      </c>
      <c r="H304" t="str">
        <f>IF(F304=1,C304,"")</f>
        <v/>
      </c>
    </row>
    <row r="305" spans="2:8" x14ac:dyDescent="0.25">
      <c r="B305" s="37"/>
      <c r="C305" s="38"/>
      <c r="D305" s="37"/>
      <c r="E305" t="str">
        <f>IF(C305="","",MONTH(C305))</f>
        <v/>
      </c>
      <c r="F305">
        <f>IF(AND(C305&lt;&gt;"",YEAR(C305)=CalYear,OR(B305=CountryCode,B305="MY")),1,0)</f>
        <v>0</v>
      </c>
      <c r="G305" t="str">
        <f>IF(F305=1,E305*100+COUNTIFS($E$5:E305,E305,$F$5:F305,1),"")</f>
        <v/>
      </c>
      <c r="H305" t="str">
        <f>IF(F305=1,C305,"")</f>
        <v/>
      </c>
    </row>
    <row r="306" spans="2:8" x14ac:dyDescent="0.25">
      <c r="B306" s="37"/>
      <c r="C306" s="38"/>
      <c r="D306" s="37"/>
      <c r="E306" t="str">
        <f>IF(C306="","",MONTH(C306))</f>
        <v/>
      </c>
      <c r="F306">
        <f>IF(AND(C306&lt;&gt;"",YEAR(C306)=CalYear,OR(B306=CountryCode,B306="MY")),1,0)</f>
        <v>0</v>
      </c>
      <c r="G306" t="str">
        <f>IF(F306=1,E306*100+COUNTIFS($E$5:E306,E306,$F$5:F306,1),"")</f>
        <v/>
      </c>
      <c r="H306" t="str">
        <f>IF(F306=1,C306,"")</f>
        <v/>
      </c>
    </row>
    <row r="307" spans="2:8" x14ac:dyDescent="0.25">
      <c r="B307" s="37"/>
      <c r="C307" s="38"/>
      <c r="D307" s="37"/>
      <c r="E307" t="str">
        <f>IF(C307="","",MONTH(C307))</f>
        <v/>
      </c>
      <c r="F307">
        <f>IF(AND(C307&lt;&gt;"",YEAR(C307)=CalYear,OR(B307=CountryCode,B307="MY")),1,0)</f>
        <v>0</v>
      </c>
      <c r="G307" t="str">
        <f>IF(F307=1,E307*100+COUNTIFS($E$5:E307,E307,$F$5:F307,1),"")</f>
        <v/>
      </c>
      <c r="H307" t="str">
        <f>IF(F307=1,C307,"")</f>
        <v/>
      </c>
    </row>
    <row r="308" spans="2:8" x14ac:dyDescent="0.25">
      <c r="B308" s="37"/>
      <c r="C308" s="38"/>
      <c r="D308" s="37"/>
      <c r="E308" t="str">
        <f>IF(C308="","",MONTH(C308))</f>
        <v/>
      </c>
      <c r="F308">
        <f>IF(AND(C308&lt;&gt;"",YEAR(C308)=CalYear,OR(B308=CountryCode,B308="MY")),1,0)</f>
        <v>0</v>
      </c>
      <c r="G308" t="str">
        <f>IF(F308=1,E308*100+COUNTIFS($E$5:E308,E308,$F$5:F308,1),"")</f>
        <v/>
      </c>
      <c r="H308" t="str">
        <f>IF(F308=1,C308,"")</f>
        <v/>
      </c>
    </row>
    <row r="309" spans="2:8" x14ac:dyDescent="0.25">
      <c r="B309" s="37"/>
      <c r="C309" s="38"/>
      <c r="D309" s="37"/>
      <c r="E309" t="str">
        <f>IF(C309="","",MONTH(C309))</f>
        <v/>
      </c>
      <c r="F309">
        <f>IF(AND(C309&lt;&gt;"",YEAR(C309)=CalYear,OR(B309=CountryCode,B309="MY")),1,0)</f>
        <v>0</v>
      </c>
      <c r="G309" t="str">
        <f>IF(F309=1,E309*100+COUNTIFS($E$5:E309,E309,$F$5:F309,1),"")</f>
        <v/>
      </c>
      <c r="H309" t="str">
        <f>IF(F309=1,C309,"")</f>
        <v/>
      </c>
    </row>
    <row r="310" spans="2:8" x14ac:dyDescent="0.25">
      <c r="B310" s="37"/>
      <c r="C310" s="38"/>
      <c r="D310" s="37"/>
      <c r="E310" t="str">
        <f>IF(C310="","",MONTH(C310))</f>
        <v/>
      </c>
      <c r="F310">
        <f>IF(AND(C310&lt;&gt;"",YEAR(C310)=CalYear,OR(B310=CountryCode,B310="MY")),1,0)</f>
        <v>0</v>
      </c>
      <c r="G310" t="str">
        <f>IF(F310=1,E310*100+COUNTIFS($E$5:E310,E310,$F$5:F310,1),"")</f>
        <v/>
      </c>
      <c r="H310" t="str">
        <f>IF(F310=1,C310,"")</f>
        <v/>
      </c>
    </row>
    <row r="311" spans="2:8" x14ac:dyDescent="0.25">
      <c r="B311" s="37"/>
      <c r="C311" s="38"/>
      <c r="D311" s="37"/>
      <c r="E311" t="str">
        <f>IF(C311="","",MONTH(C311))</f>
        <v/>
      </c>
      <c r="F311">
        <f>IF(AND(C311&lt;&gt;"",YEAR(C311)=CalYear,OR(B311=CountryCode,B311="MY")),1,0)</f>
        <v>0</v>
      </c>
      <c r="G311" t="str">
        <f>IF(F311=1,E311*100+COUNTIFS($E$5:E311,E311,$F$5:F311,1),"")</f>
        <v/>
      </c>
      <c r="H311" t="str">
        <f>IF(F311=1,C311,"")</f>
        <v/>
      </c>
    </row>
    <row r="312" spans="2:8" x14ac:dyDescent="0.25">
      <c r="B312" s="37"/>
      <c r="C312" s="38"/>
      <c r="D312" s="37"/>
      <c r="E312" t="str">
        <f>IF(C312="","",MONTH(C312))</f>
        <v/>
      </c>
      <c r="F312">
        <f>IF(AND(C312&lt;&gt;"",YEAR(C312)=CalYear,OR(B312=CountryCode,B312="MY")),1,0)</f>
        <v>0</v>
      </c>
      <c r="G312" t="str">
        <f>IF(F312=1,E312*100+COUNTIFS($E$5:E312,E312,$F$5:F312,1),"")</f>
        <v/>
      </c>
      <c r="H312" t="str">
        <f>IF(F312=1,C312,"")</f>
        <v/>
      </c>
    </row>
    <row r="313" spans="2:8" x14ac:dyDescent="0.25">
      <c r="B313" s="37"/>
      <c r="C313" s="38"/>
      <c r="D313" s="37"/>
      <c r="E313" t="str">
        <f>IF(C313="","",MONTH(C313))</f>
        <v/>
      </c>
      <c r="F313">
        <f>IF(AND(C313&lt;&gt;"",YEAR(C313)=CalYear,OR(B313=CountryCode,B313="MY")),1,0)</f>
        <v>0</v>
      </c>
      <c r="G313" t="str">
        <f>IF(F313=1,E313*100+COUNTIFS($E$5:E313,E313,$F$5:F313,1),"")</f>
        <v/>
      </c>
      <c r="H313" t="str">
        <f>IF(F313=1,C313,"")</f>
        <v/>
      </c>
    </row>
    <row r="314" spans="2:8" x14ac:dyDescent="0.25">
      <c r="B314" s="37"/>
      <c r="C314" s="38"/>
      <c r="D314" s="37"/>
      <c r="E314" t="str">
        <f>IF(C314="","",MONTH(C314))</f>
        <v/>
      </c>
      <c r="F314">
        <f>IF(AND(C314&lt;&gt;"",YEAR(C314)=CalYear,OR(B314=CountryCode,B314="MY")),1,0)</f>
        <v>0</v>
      </c>
      <c r="G314" t="str">
        <f>IF(F314=1,E314*100+COUNTIFS($E$5:E314,E314,$F$5:F314,1),"")</f>
        <v/>
      </c>
      <c r="H314" t="str">
        <f>IF(F314=1,C314,"")</f>
        <v/>
      </c>
    </row>
    <row r="315" spans="2:8" x14ac:dyDescent="0.25">
      <c r="B315" s="37"/>
      <c r="C315" s="38"/>
      <c r="D315" s="37"/>
      <c r="E315" t="str">
        <f>IF(C315="","",MONTH(C315))</f>
        <v/>
      </c>
      <c r="F315">
        <f>IF(AND(C315&lt;&gt;"",YEAR(C315)=CalYear,OR(B315=CountryCode,B315="MY")),1,0)</f>
        <v>0</v>
      </c>
      <c r="G315" t="str">
        <f>IF(F315=1,E315*100+COUNTIFS($E$5:E315,E315,$F$5:F315,1),"")</f>
        <v/>
      </c>
      <c r="H315" t="str">
        <f>IF(F315=1,C315,"")</f>
        <v/>
      </c>
    </row>
    <row r="316" spans="2:8" x14ac:dyDescent="0.25">
      <c r="B316" s="37"/>
      <c r="C316" s="38"/>
      <c r="D316" s="37"/>
      <c r="E316" t="str">
        <f>IF(C316="","",MONTH(C316))</f>
        <v/>
      </c>
      <c r="F316">
        <f>IF(AND(C316&lt;&gt;"",YEAR(C316)=CalYear,OR(B316=CountryCode,B316="MY")),1,0)</f>
        <v>0</v>
      </c>
      <c r="G316" t="str">
        <f>IF(F316=1,E316*100+COUNTIFS($E$5:E316,E316,$F$5:F316,1),"")</f>
        <v/>
      </c>
      <c r="H316" t="str">
        <f>IF(F316=1,C316,"")</f>
        <v/>
      </c>
    </row>
    <row r="317" spans="2:8" x14ac:dyDescent="0.25">
      <c r="B317" s="37"/>
      <c r="C317" s="38"/>
      <c r="D317" s="37"/>
      <c r="E317" t="str">
        <f>IF(C317="","",MONTH(C317))</f>
        <v/>
      </c>
      <c r="F317">
        <f>IF(AND(C317&lt;&gt;"",YEAR(C317)=CalYear,OR(B317=CountryCode,B317="MY")),1,0)</f>
        <v>0</v>
      </c>
      <c r="G317" t="str">
        <f>IF(F317=1,E317*100+COUNTIFS($E$5:E317,E317,$F$5:F317,1),"")</f>
        <v/>
      </c>
      <c r="H317" t="str">
        <f>IF(F317=1,C317,"")</f>
        <v/>
      </c>
    </row>
    <row r="318" spans="2:8" x14ac:dyDescent="0.25">
      <c r="B318" s="37"/>
      <c r="C318" s="38"/>
      <c r="D318" s="37"/>
      <c r="E318" t="str">
        <f>IF(C318="","",MONTH(C318))</f>
        <v/>
      </c>
      <c r="F318">
        <f>IF(AND(C318&lt;&gt;"",YEAR(C318)=CalYear,OR(B318=CountryCode,B318="MY")),1,0)</f>
        <v>0</v>
      </c>
      <c r="G318" t="str">
        <f>IF(F318=1,E318*100+COUNTIFS($E$5:E318,E318,$F$5:F318,1),"")</f>
        <v/>
      </c>
      <c r="H318" t="str">
        <f>IF(F318=1,C318,"")</f>
        <v/>
      </c>
    </row>
    <row r="319" spans="2:8" x14ac:dyDescent="0.25">
      <c r="B319" s="37"/>
      <c r="C319" s="38"/>
      <c r="D319" s="37"/>
      <c r="E319" t="str">
        <f>IF(C319="","",MONTH(C319))</f>
        <v/>
      </c>
      <c r="F319">
        <f>IF(AND(C319&lt;&gt;"",YEAR(C319)=CalYear,OR(B319=CountryCode,B319="MY")),1,0)</f>
        <v>0</v>
      </c>
      <c r="G319" t="str">
        <f>IF(F319=1,E319*100+COUNTIFS($E$5:E319,E319,$F$5:F319,1),"")</f>
        <v/>
      </c>
      <c r="H319" t="str">
        <f>IF(F319=1,C319,"")</f>
        <v/>
      </c>
    </row>
    <row r="320" spans="2:8" x14ac:dyDescent="0.25">
      <c r="B320" s="37"/>
      <c r="C320" s="38"/>
      <c r="D320" s="37"/>
      <c r="E320" t="str">
        <f>IF(C320="","",MONTH(C320))</f>
        <v/>
      </c>
      <c r="F320">
        <f>IF(AND(C320&lt;&gt;"",YEAR(C320)=CalYear,OR(B320=CountryCode,B320="MY")),1,0)</f>
        <v>0</v>
      </c>
      <c r="G320" t="str">
        <f>IF(F320=1,E320*100+COUNTIFS($E$5:E320,E320,$F$5:F320,1),"")</f>
        <v/>
      </c>
      <c r="H320" t="str">
        <f>IF(F320=1,C320,"")</f>
        <v/>
      </c>
    </row>
    <row r="321" spans="2:8" x14ac:dyDescent="0.25">
      <c r="B321" s="37"/>
      <c r="C321" s="38"/>
      <c r="D321" s="37"/>
      <c r="E321" t="str">
        <f>IF(C321="","",MONTH(C321))</f>
        <v/>
      </c>
      <c r="F321">
        <f>IF(AND(C321&lt;&gt;"",YEAR(C321)=CalYear,OR(B321=CountryCode,B321="MY")),1,0)</f>
        <v>0</v>
      </c>
      <c r="G321" t="str">
        <f>IF(F321=1,E321*100+COUNTIFS($E$5:E321,E321,$F$5:F321,1),"")</f>
        <v/>
      </c>
      <c r="H321" t="str">
        <f>IF(F321=1,C321,"")</f>
        <v/>
      </c>
    </row>
    <row r="322" spans="2:8" x14ac:dyDescent="0.25">
      <c r="B322" s="37"/>
      <c r="C322" s="38"/>
      <c r="D322" s="37"/>
      <c r="E322" t="str">
        <f>IF(C322="","",MONTH(C322))</f>
        <v/>
      </c>
      <c r="F322">
        <f>IF(AND(C322&lt;&gt;"",YEAR(C322)=CalYear,OR(B322=CountryCode,B322="MY")),1,0)</f>
        <v>0</v>
      </c>
      <c r="G322" t="str">
        <f>IF(F322=1,E322*100+COUNTIFS($E$5:E322,E322,$F$5:F322,1),"")</f>
        <v/>
      </c>
      <c r="H322" t="str">
        <f>IF(F322=1,C322,"")</f>
        <v/>
      </c>
    </row>
    <row r="323" spans="2:8" x14ac:dyDescent="0.25">
      <c r="B323" s="37"/>
      <c r="C323" s="38"/>
      <c r="D323" s="37"/>
      <c r="E323" t="str">
        <f>IF(C323="","",MONTH(C323))</f>
        <v/>
      </c>
      <c r="F323">
        <f>IF(AND(C323&lt;&gt;"",YEAR(C323)=CalYear,OR(B323=CountryCode,B323="MY")),1,0)</f>
        <v>0</v>
      </c>
      <c r="G323" t="str">
        <f>IF(F323=1,E323*100+COUNTIFS($E$5:E323,E323,$F$5:F323,1),"")</f>
        <v/>
      </c>
      <c r="H323" t="str">
        <f>IF(F323=1,C323,"")</f>
        <v/>
      </c>
    </row>
    <row r="324" spans="2:8" x14ac:dyDescent="0.25">
      <c r="B324" s="37"/>
      <c r="C324" s="38"/>
      <c r="D324" s="37"/>
      <c r="E324" t="str">
        <f>IF(C324="","",MONTH(C324))</f>
        <v/>
      </c>
      <c r="F324">
        <f>IF(AND(C324&lt;&gt;"",YEAR(C324)=CalYear,OR(B324=CountryCode,B324="MY")),1,0)</f>
        <v>0</v>
      </c>
      <c r="G324" t="str">
        <f>IF(F324=1,E324*100+COUNTIFS($E$5:E324,E324,$F$5:F324,1),"")</f>
        <v/>
      </c>
      <c r="H324" t="str">
        <f>IF(F324=1,C324,"")</f>
        <v/>
      </c>
    </row>
    <row r="325" spans="2:8" x14ac:dyDescent="0.25">
      <c r="B325" s="37"/>
      <c r="C325" s="38"/>
      <c r="D325" s="37"/>
      <c r="E325" t="str">
        <f>IF(C325="","",MONTH(C325))</f>
        <v/>
      </c>
      <c r="F325">
        <f>IF(AND(C325&lt;&gt;"",YEAR(C325)=CalYear,OR(B325=CountryCode,B325="MY")),1,0)</f>
        <v>0</v>
      </c>
      <c r="G325" t="str">
        <f>IF(F325=1,E325*100+COUNTIFS($E$5:E325,E325,$F$5:F325,1),"")</f>
        <v/>
      </c>
      <c r="H325" t="str">
        <f>IF(F325=1,C325,"")</f>
        <v/>
      </c>
    </row>
    <row r="326" spans="2:8" x14ac:dyDescent="0.25">
      <c r="B326" s="37"/>
      <c r="C326" s="38"/>
      <c r="D326" s="37"/>
      <c r="E326" t="str">
        <f>IF(C326="","",MONTH(C326))</f>
        <v/>
      </c>
      <c r="F326">
        <f>IF(AND(C326&lt;&gt;"",YEAR(C326)=CalYear,OR(B326=CountryCode,B326="MY")),1,0)</f>
        <v>0</v>
      </c>
      <c r="G326" t="str">
        <f>IF(F326=1,E326*100+COUNTIFS($E$5:E326,E326,$F$5:F326,1),"")</f>
        <v/>
      </c>
      <c r="H326" t="str">
        <f>IF(F326=1,C326,"")</f>
        <v/>
      </c>
    </row>
    <row r="327" spans="2:8" x14ac:dyDescent="0.25">
      <c r="B327" s="37"/>
      <c r="C327" s="38"/>
      <c r="D327" s="37"/>
      <c r="E327" t="str">
        <f>IF(C327="","",MONTH(C327))</f>
        <v/>
      </c>
      <c r="F327">
        <f>IF(AND(C327&lt;&gt;"",YEAR(C327)=CalYear,OR(B327=CountryCode,B327="MY")),1,0)</f>
        <v>0</v>
      </c>
      <c r="G327" t="str">
        <f>IF(F327=1,E327*100+COUNTIFS($E$5:E327,E327,$F$5:F327,1),"")</f>
        <v/>
      </c>
      <c r="H327" t="str">
        <f>IF(F327=1,C327,"")</f>
        <v/>
      </c>
    </row>
    <row r="328" spans="2:8" x14ac:dyDescent="0.25">
      <c r="B328" s="37"/>
      <c r="C328" s="38"/>
      <c r="D328" s="37"/>
      <c r="E328" t="str">
        <f>IF(C328="","",MONTH(C328))</f>
        <v/>
      </c>
      <c r="F328">
        <f>IF(AND(C328&lt;&gt;"",YEAR(C328)=CalYear,OR(B328=CountryCode,B328="MY")),1,0)</f>
        <v>0</v>
      </c>
      <c r="G328" t="str">
        <f>IF(F328=1,E328*100+COUNTIFS($E$5:E328,E328,$F$5:F328,1),"")</f>
        <v/>
      </c>
      <c r="H328" t="str">
        <f>IF(F328=1,C328,"")</f>
        <v/>
      </c>
    </row>
    <row r="329" spans="2:8" x14ac:dyDescent="0.25">
      <c r="B329" s="37"/>
      <c r="C329" s="38"/>
      <c r="D329" s="37"/>
      <c r="E329" t="str">
        <f>IF(C329="","",MONTH(C329))</f>
        <v/>
      </c>
      <c r="F329">
        <f>IF(AND(C329&lt;&gt;"",YEAR(C329)=CalYear,OR(B329=CountryCode,B329="MY")),1,0)</f>
        <v>0</v>
      </c>
      <c r="G329" t="str">
        <f>IF(F329=1,E329*100+COUNTIFS($E$5:E329,E329,$F$5:F329,1),"")</f>
        <v/>
      </c>
      <c r="H329" t="str">
        <f>IF(F329=1,C329,"")</f>
        <v/>
      </c>
    </row>
    <row r="330" spans="2:8" x14ac:dyDescent="0.25">
      <c r="B330" s="37"/>
      <c r="C330" s="38"/>
      <c r="D330" s="37"/>
      <c r="E330" t="str">
        <f>IF(C330="","",MONTH(C330))</f>
        <v/>
      </c>
      <c r="F330">
        <f>IF(AND(C330&lt;&gt;"",YEAR(C330)=CalYear,OR(B330=CountryCode,B330="MY")),1,0)</f>
        <v>0</v>
      </c>
      <c r="G330" t="str">
        <f>IF(F330=1,E330*100+COUNTIFS($E$5:E330,E330,$F$5:F330,1),"")</f>
        <v/>
      </c>
      <c r="H330" t="str">
        <f>IF(F330=1,C330,"")</f>
        <v/>
      </c>
    </row>
    <row r="331" spans="2:8" x14ac:dyDescent="0.25">
      <c r="B331" s="37"/>
      <c r="C331" s="38"/>
      <c r="D331" s="37"/>
      <c r="E331" t="str">
        <f>IF(C331="","",MONTH(C331))</f>
        <v/>
      </c>
      <c r="F331">
        <f>IF(AND(C331&lt;&gt;"",YEAR(C331)=CalYear,OR(B331=CountryCode,B331="MY")),1,0)</f>
        <v>0</v>
      </c>
      <c r="G331" t="str">
        <f>IF(F331=1,E331*100+COUNTIFS($E$5:E331,E331,$F$5:F331,1),"")</f>
        <v/>
      </c>
      <c r="H331" t="str">
        <f>IF(F331=1,C331,"")</f>
        <v/>
      </c>
    </row>
    <row r="332" spans="2:8" x14ac:dyDescent="0.25">
      <c r="B332" s="37"/>
      <c r="C332" s="38"/>
      <c r="D332" s="37"/>
      <c r="E332" t="str">
        <f>IF(C332="","",MONTH(C332))</f>
        <v/>
      </c>
      <c r="F332">
        <f>IF(AND(C332&lt;&gt;"",YEAR(C332)=CalYear,OR(B332=CountryCode,B332="MY")),1,0)</f>
        <v>0</v>
      </c>
      <c r="G332" t="str">
        <f>IF(F332=1,E332*100+COUNTIFS($E$5:E332,E332,$F$5:F332,1),"")</f>
        <v/>
      </c>
      <c r="H332" t="str">
        <f>IF(F332=1,C332,"")</f>
        <v/>
      </c>
    </row>
    <row r="333" spans="2:8" x14ac:dyDescent="0.25">
      <c r="B333" s="37"/>
      <c r="C333" s="38"/>
      <c r="D333" s="37"/>
      <c r="E333" t="str">
        <f>IF(C333="","",MONTH(C333))</f>
        <v/>
      </c>
      <c r="F333">
        <f>IF(AND(C333&lt;&gt;"",YEAR(C333)=CalYear,OR(B333=CountryCode,B333="MY")),1,0)</f>
        <v>0</v>
      </c>
      <c r="G333" t="str">
        <f>IF(F333=1,E333*100+COUNTIFS($E$5:E333,E333,$F$5:F333,1),"")</f>
        <v/>
      </c>
      <c r="H333" t="str">
        <f>IF(F333=1,C333,"")</f>
        <v/>
      </c>
    </row>
    <row r="334" spans="2:8" x14ac:dyDescent="0.25">
      <c r="B334" s="37"/>
      <c r="C334" s="38"/>
      <c r="D334" s="37"/>
      <c r="E334" t="str">
        <f>IF(C334="","",MONTH(C334))</f>
        <v/>
      </c>
      <c r="F334">
        <f>IF(AND(C334&lt;&gt;"",YEAR(C334)=CalYear,OR(B334=CountryCode,B334="MY")),1,0)</f>
        <v>0</v>
      </c>
      <c r="G334" t="str">
        <f>IF(F334=1,E334*100+COUNTIFS($E$5:E334,E334,$F$5:F334,1),"")</f>
        <v/>
      </c>
      <c r="H334" t="str">
        <f>IF(F334=1,C334,"")</f>
        <v/>
      </c>
    </row>
    <row r="335" spans="2:8" x14ac:dyDescent="0.25">
      <c r="B335" s="37"/>
      <c r="C335" s="38"/>
      <c r="D335" s="37"/>
      <c r="E335" t="str">
        <f>IF(C335="","",MONTH(C335))</f>
        <v/>
      </c>
      <c r="F335">
        <f>IF(AND(C335&lt;&gt;"",YEAR(C335)=CalYear,OR(B335=CountryCode,B335="MY")),1,0)</f>
        <v>0</v>
      </c>
      <c r="G335" t="str">
        <f>IF(F335=1,E335*100+COUNTIFS($E$5:E335,E335,$F$5:F335,1),"")</f>
        <v/>
      </c>
      <c r="H335" t="str">
        <f>IF(F335=1,C335,"")</f>
        <v/>
      </c>
    </row>
    <row r="336" spans="2:8" x14ac:dyDescent="0.25">
      <c r="B336" s="37"/>
      <c r="C336" s="38"/>
      <c r="D336" s="37"/>
      <c r="E336" t="str">
        <f>IF(C336="","",MONTH(C336))</f>
        <v/>
      </c>
      <c r="F336">
        <f>IF(AND(C336&lt;&gt;"",YEAR(C336)=CalYear,OR(B336=CountryCode,B336="MY")),1,0)</f>
        <v>0</v>
      </c>
      <c r="G336" t="str">
        <f>IF(F336=1,E336*100+COUNTIFS($E$5:E336,E336,$F$5:F336,1),"")</f>
        <v/>
      </c>
      <c r="H336" t="str">
        <f>IF(F336=1,C336,"")</f>
        <v/>
      </c>
    </row>
    <row r="337" spans="2:8" x14ac:dyDescent="0.25">
      <c r="B337" s="37"/>
      <c r="C337" s="38"/>
      <c r="D337" s="37"/>
      <c r="E337" t="str">
        <f>IF(C337="","",MONTH(C337))</f>
        <v/>
      </c>
      <c r="F337">
        <f>IF(AND(C337&lt;&gt;"",YEAR(C337)=CalYear,OR(B337=CountryCode,B337="MY")),1,0)</f>
        <v>0</v>
      </c>
      <c r="G337" t="str">
        <f>IF(F337=1,E337*100+COUNTIFS($E$5:E337,E337,$F$5:F337,1),"")</f>
        <v/>
      </c>
      <c r="H337" t="str">
        <f>IF(F337=1,C337,"")</f>
        <v/>
      </c>
    </row>
    <row r="338" spans="2:8" x14ac:dyDescent="0.25">
      <c r="B338" s="37"/>
      <c r="C338" s="38"/>
      <c r="D338" s="37"/>
      <c r="E338" t="str">
        <f>IF(C338="","",MONTH(C338))</f>
        <v/>
      </c>
      <c r="F338">
        <f>IF(AND(C338&lt;&gt;"",YEAR(C338)=CalYear,OR(B338=CountryCode,B338="MY")),1,0)</f>
        <v>0</v>
      </c>
      <c r="G338" t="str">
        <f>IF(F338=1,E338*100+COUNTIFS($E$5:E338,E338,$F$5:F338,1),"")</f>
        <v/>
      </c>
      <c r="H338" t="str">
        <f>IF(F338=1,C338,"")</f>
        <v/>
      </c>
    </row>
    <row r="339" spans="2:8" x14ac:dyDescent="0.25">
      <c r="B339" s="37"/>
      <c r="C339" s="38"/>
      <c r="D339" s="37"/>
      <c r="E339" t="str">
        <f>IF(C339="","",MONTH(C339))</f>
        <v/>
      </c>
      <c r="F339">
        <f>IF(AND(C339&lt;&gt;"",YEAR(C339)=CalYear,OR(B339=CountryCode,B339="MY")),1,0)</f>
        <v>0</v>
      </c>
      <c r="G339" t="str">
        <f>IF(F339=1,E339*100+COUNTIFS($E$5:E339,E339,$F$5:F339,1),"")</f>
        <v/>
      </c>
      <c r="H339" t="str">
        <f>IF(F339=1,C339,"")</f>
        <v/>
      </c>
    </row>
    <row r="340" spans="2:8" x14ac:dyDescent="0.25">
      <c r="B340" s="37"/>
      <c r="C340" s="38"/>
      <c r="D340" s="37"/>
      <c r="E340" t="str">
        <f>IF(C340="","",MONTH(C340))</f>
        <v/>
      </c>
      <c r="F340">
        <f>IF(AND(C340&lt;&gt;"",YEAR(C340)=CalYear,OR(B340=CountryCode,B340="MY")),1,0)</f>
        <v>0</v>
      </c>
      <c r="G340" t="str">
        <f>IF(F340=1,E340*100+COUNTIFS($E$5:E340,E340,$F$5:F340,1),"")</f>
        <v/>
      </c>
      <c r="H340" t="str">
        <f>IF(F340=1,C340,"")</f>
        <v/>
      </c>
    </row>
    <row r="341" spans="2:8" x14ac:dyDescent="0.25">
      <c r="B341" s="37"/>
      <c r="C341" s="38"/>
      <c r="D341" s="37"/>
      <c r="E341" t="str">
        <f>IF(C341="","",MONTH(C341))</f>
        <v/>
      </c>
      <c r="F341">
        <f>IF(AND(C341&lt;&gt;"",YEAR(C341)=CalYear,OR(B341=CountryCode,B341="MY")),1,0)</f>
        <v>0</v>
      </c>
      <c r="G341" t="str">
        <f>IF(F341=1,E341*100+COUNTIFS($E$5:E341,E341,$F$5:F341,1),"")</f>
        <v/>
      </c>
      <c r="H341" t="str">
        <f>IF(F341=1,C341,"")</f>
        <v/>
      </c>
    </row>
    <row r="342" spans="2:8" x14ac:dyDescent="0.25">
      <c r="B342" s="37"/>
      <c r="C342" s="38"/>
      <c r="D342" s="37"/>
      <c r="E342" t="str">
        <f>IF(C342="","",MONTH(C342))</f>
        <v/>
      </c>
      <c r="F342">
        <f>IF(AND(C342&lt;&gt;"",YEAR(C342)=CalYear,OR(B342=CountryCode,B342="MY")),1,0)</f>
        <v>0</v>
      </c>
      <c r="G342" t="str">
        <f>IF(F342=1,E342*100+COUNTIFS($E$5:E342,E342,$F$5:F342,1),"")</f>
        <v/>
      </c>
      <c r="H342" t="str">
        <f>IF(F342=1,C342,"")</f>
        <v/>
      </c>
    </row>
    <row r="343" spans="2:8" x14ac:dyDescent="0.25">
      <c r="B343" s="37"/>
      <c r="C343" s="38"/>
      <c r="D343" s="37"/>
      <c r="E343" t="str">
        <f>IF(C343="","",MONTH(C343))</f>
        <v/>
      </c>
      <c r="F343">
        <f>IF(AND(C343&lt;&gt;"",YEAR(C343)=CalYear,OR(B343=CountryCode,B343="MY")),1,0)</f>
        <v>0</v>
      </c>
      <c r="G343" t="str">
        <f>IF(F343=1,E343*100+COUNTIFS($E$5:E343,E343,$F$5:F343,1),"")</f>
        <v/>
      </c>
      <c r="H343" t="str">
        <f>IF(F343=1,C343,"")</f>
        <v/>
      </c>
    </row>
    <row r="344" spans="2:8" x14ac:dyDescent="0.25">
      <c r="B344" s="37"/>
      <c r="C344" s="38"/>
      <c r="D344" s="37"/>
      <c r="E344" t="str">
        <f>IF(C344="","",MONTH(C344))</f>
        <v/>
      </c>
      <c r="F344">
        <f>IF(AND(C344&lt;&gt;"",YEAR(C344)=CalYear,OR(B344=CountryCode,B344="MY")),1,0)</f>
        <v>0</v>
      </c>
      <c r="G344" t="str">
        <f>IF(F344=1,E344*100+COUNTIFS($E$5:E344,E344,$F$5:F344,1),"")</f>
        <v/>
      </c>
      <c r="H344" t="str">
        <f>IF(F344=1,C344,"")</f>
        <v/>
      </c>
    </row>
    <row r="345" spans="2:8" x14ac:dyDescent="0.25">
      <c r="B345" s="37"/>
      <c r="C345" s="38"/>
      <c r="D345" s="37"/>
      <c r="E345" t="str">
        <f>IF(C345="","",MONTH(C345))</f>
        <v/>
      </c>
      <c r="F345">
        <f>IF(AND(C345&lt;&gt;"",YEAR(C345)=CalYear,OR(B345=CountryCode,B345="MY")),1,0)</f>
        <v>0</v>
      </c>
      <c r="G345" t="str">
        <f>IF(F345=1,E345*100+COUNTIFS($E$5:E345,E345,$F$5:F345,1),"")</f>
        <v/>
      </c>
      <c r="H345" t="str">
        <f>IF(F345=1,C345,"")</f>
        <v/>
      </c>
    </row>
    <row r="346" spans="2:8" x14ac:dyDescent="0.25">
      <c r="B346" s="37"/>
      <c r="C346" s="38"/>
      <c r="D346" s="37"/>
      <c r="E346" t="str">
        <f>IF(C346="","",MONTH(C346))</f>
        <v/>
      </c>
      <c r="F346">
        <f>IF(AND(C346&lt;&gt;"",YEAR(C346)=CalYear,OR(B346=CountryCode,B346="MY")),1,0)</f>
        <v>0</v>
      </c>
      <c r="G346" t="str">
        <f>IF(F346=1,E346*100+COUNTIFS($E$5:E346,E346,$F$5:F346,1),"")</f>
        <v/>
      </c>
      <c r="H346" t="str">
        <f>IF(F346=1,C346,"")</f>
        <v/>
      </c>
    </row>
    <row r="347" spans="2:8" x14ac:dyDescent="0.25">
      <c r="B347" s="37"/>
      <c r="C347" s="38"/>
      <c r="D347" s="37"/>
      <c r="E347" t="str">
        <f>IF(C347="","",MONTH(C347))</f>
        <v/>
      </c>
      <c r="F347">
        <f>IF(AND(C347&lt;&gt;"",YEAR(C347)=CalYear,OR(B347=CountryCode,B347="MY")),1,0)</f>
        <v>0</v>
      </c>
      <c r="G347" t="str">
        <f>IF(F347=1,E347*100+COUNTIFS($E$5:E347,E347,$F$5:F347,1),"")</f>
        <v/>
      </c>
      <c r="H347" t="str">
        <f>IF(F347=1,C347,"")</f>
        <v/>
      </c>
    </row>
    <row r="348" spans="2:8" x14ac:dyDescent="0.25">
      <c r="B348" s="37"/>
      <c r="C348" s="38"/>
      <c r="D348" s="37"/>
      <c r="E348" t="str">
        <f>IF(C348="","",MONTH(C348))</f>
        <v/>
      </c>
      <c r="F348">
        <f>IF(AND(C348&lt;&gt;"",YEAR(C348)=CalYear,OR(B348=CountryCode,B348="MY")),1,0)</f>
        <v>0</v>
      </c>
      <c r="G348" t="str">
        <f>IF(F348=1,E348*100+COUNTIFS($E$5:E348,E348,$F$5:F348,1),"")</f>
        <v/>
      </c>
      <c r="H348" t="str">
        <f>IF(F348=1,C348,"")</f>
        <v/>
      </c>
    </row>
    <row r="349" spans="2:8" x14ac:dyDescent="0.25">
      <c r="B349" s="37"/>
      <c r="C349" s="38"/>
      <c r="D349" s="37"/>
      <c r="E349" t="str">
        <f>IF(C349="","",MONTH(C349))</f>
        <v/>
      </c>
      <c r="F349">
        <f>IF(AND(C349&lt;&gt;"",YEAR(C349)=CalYear,OR(B349=CountryCode,B349="MY")),1,0)</f>
        <v>0</v>
      </c>
      <c r="G349" t="str">
        <f>IF(F349=1,E349*100+COUNTIFS($E$5:E349,E349,$F$5:F349,1),"")</f>
        <v/>
      </c>
      <c r="H349" t="str">
        <f>IF(F349=1,C349,"")</f>
        <v/>
      </c>
    </row>
    <row r="350" spans="2:8" x14ac:dyDescent="0.25">
      <c r="B350" s="37"/>
      <c r="C350" s="38"/>
      <c r="D350" s="37"/>
      <c r="E350" t="str">
        <f>IF(C350="","",MONTH(C350))</f>
        <v/>
      </c>
      <c r="F350">
        <f>IF(AND(C350&lt;&gt;"",YEAR(C350)=CalYear,OR(B350=CountryCode,B350="MY")),1,0)</f>
        <v>0</v>
      </c>
      <c r="G350" t="str">
        <f>IF(F350=1,E350*100+COUNTIFS($E$5:E350,E350,$F$5:F350,1),"")</f>
        <v/>
      </c>
      <c r="H350" t="str">
        <f>IF(F350=1,C350,"")</f>
        <v/>
      </c>
    </row>
    <row r="351" spans="2:8" x14ac:dyDescent="0.25">
      <c r="B351" s="37"/>
      <c r="C351" s="38"/>
      <c r="D351" s="37"/>
      <c r="E351" t="str">
        <f>IF(C351="","",MONTH(C351))</f>
        <v/>
      </c>
      <c r="F351">
        <f>IF(AND(C351&lt;&gt;"",YEAR(C351)=CalYear,OR(B351=CountryCode,B351="MY")),1,0)</f>
        <v>0</v>
      </c>
      <c r="G351" t="str">
        <f>IF(F351=1,E351*100+COUNTIFS($E$5:E351,E351,$F$5:F351,1),"")</f>
        <v/>
      </c>
      <c r="H351" t="str">
        <f>IF(F351=1,C351,"")</f>
        <v/>
      </c>
    </row>
    <row r="352" spans="2:8" x14ac:dyDescent="0.25">
      <c r="B352" s="37"/>
      <c r="C352" s="38"/>
      <c r="D352" s="37"/>
      <c r="E352" t="str">
        <f>IF(C352="","",MONTH(C352))</f>
        <v/>
      </c>
      <c r="F352">
        <f>IF(AND(C352&lt;&gt;"",YEAR(C352)=CalYear,OR(B352=CountryCode,B352="MY")),1,0)</f>
        <v>0</v>
      </c>
      <c r="G352" t="str">
        <f>IF(F352=1,E352*100+COUNTIFS($E$5:E352,E352,$F$5:F352,1),"")</f>
        <v/>
      </c>
      <c r="H352" t="str">
        <f>IF(F352=1,C352,"")</f>
        <v/>
      </c>
    </row>
    <row r="353" spans="2:8" x14ac:dyDescent="0.25">
      <c r="B353" s="37"/>
      <c r="C353" s="38"/>
      <c r="D353" s="37"/>
      <c r="E353" t="str">
        <f>IF(C353="","",MONTH(C353))</f>
        <v/>
      </c>
      <c r="F353">
        <f>IF(AND(C353&lt;&gt;"",YEAR(C353)=CalYear,OR(B353=CountryCode,B353="MY")),1,0)</f>
        <v>0</v>
      </c>
      <c r="G353" t="str">
        <f>IF(F353=1,E353*100+COUNTIFS($E$5:E353,E353,$F$5:F353,1),"")</f>
        <v/>
      </c>
      <c r="H353" t="str">
        <f>IF(F353=1,C353,"")</f>
        <v/>
      </c>
    </row>
    <row r="354" spans="2:8" x14ac:dyDescent="0.25">
      <c r="B354" s="37"/>
      <c r="C354" s="38"/>
      <c r="D354" s="37"/>
      <c r="E354" t="str">
        <f>IF(C354="","",MONTH(C354))</f>
        <v/>
      </c>
      <c r="F354">
        <f>IF(AND(C354&lt;&gt;"",YEAR(C354)=CalYear,OR(B354=CountryCode,B354="MY")),1,0)</f>
        <v>0</v>
      </c>
      <c r="G354" t="str">
        <f>IF(F354=1,E354*100+COUNTIFS($E$5:E354,E354,$F$5:F354,1),"")</f>
        <v/>
      </c>
      <c r="H354" t="str">
        <f>IF(F354=1,C354,"")</f>
        <v/>
      </c>
    </row>
    <row r="355" spans="2:8" x14ac:dyDescent="0.25">
      <c r="B355" s="37"/>
      <c r="C355" s="38"/>
      <c r="D355" s="37"/>
      <c r="E355" t="str">
        <f>IF(C355="","",MONTH(C355))</f>
        <v/>
      </c>
      <c r="F355">
        <f>IF(AND(C355&lt;&gt;"",YEAR(C355)=CalYear,OR(B355=CountryCode,B355="MY")),1,0)</f>
        <v>0</v>
      </c>
      <c r="G355" t="str">
        <f>IF(F355=1,E355*100+COUNTIFS($E$5:E355,E355,$F$5:F355,1),"")</f>
        <v/>
      </c>
      <c r="H355" t="str">
        <f>IF(F355=1,C355,"")</f>
        <v/>
      </c>
    </row>
    <row r="356" spans="2:8" x14ac:dyDescent="0.25">
      <c r="B356" s="37"/>
      <c r="C356" s="38"/>
      <c r="D356" s="37"/>
      <c r="E356" t="str">
        <f>IF(C356="","",MONTH(C356))</f>
        <v/>
      </c>
      <c r="F356">
        <f>IF(AND(C356&lt;&gt;"",YEAR(C356)=CalYear,OR(B356=CountryCode,B356="MY")),1,0)</f>
        <v>0</v>
      </c>
      <c r="G356" t="str">
        <f>IF(F356=1,E356*100+COUNTIFS($E$5:E356,E356,$F$5:F356,1),"")</f>
        <v/>
      </c>
      <c r="H356" t="str">
        <f>IF(F356=1,C356,"")</f>
        <v/>
      </c>
    </row>
    <row r="357" spans="2:8" x14ac:dyDescent="0.25">
      <c r="B357" s="37"/>
      <c r="C357" s="38"/>
      <c r="D357" s="37"/>
      <c r="E357" t="str">
        <f>IF(C357="","",MONTH(C357))</f>
        <v/>
      </c>
      <c r="F357">
        <f>IF(AND(C357&lt;&gt;"",YEAR(C357)=CalYear,OR(B357=CountryCode,B357="MY")),1,0)</f>
        <v>0</v>
      </c>
      <c r="G357" t="str">
        <f>IF(F357=1,E357*100+COUNTIFS($E$5:E357,E357,$F$5:F357,1),"")</f>
        <v/>
      </c>
      <c r="H357" t="str">
        <f>IF(F357=1,C357,"")</f>
        <v/>
      </c>
    </row>
    <row r="358" spans="2:8" x14ac:dyDescent="0.25">
      <c r="B358" s="37"/>
      <c r="C358" s="38"/>
      <c r="D358" s="37"/>
      <c r="E358" t="str">
        <f>IF(C358="","",MONTH(C358))</f>
        <v/>
      </c>
      <c r="F358">
        <f>IF(AND(C358&lt;&gt;"",YEAR(C358)=CalYear,OR(B358=CountryCode,B358="MY")),1,0)</f>
        <v>0</v>
      </c>
      <c r="G358" t="str">
        <f>IF(F358=1,E358*100+COUNTIFS($E$5:E358,E358,$F$5:F358,1),"")</f>
        <v/>
      </c>
      <c r="H358" t="str">
        <f>IF(F358=1,C358,"")</f>
        <v/>
      </c>
    </row>
    <row r="359" spans="2:8" x14ac:dyDescent="0.25">
      <c r="B359" s="37"/>
      <c r="C359" s="38"/>
      <c r="D359" s="37"/>
      <c r="E359" t="str">
        <f>IF(C359="","",MONTH(C359))</f>
        <v/>
      </c>
      <c r="F359">
        <f>IF(AND(C359&lt;&gt;"",YEAR(C359)=CalYear,OR(B359=CountryCode,B359="MY")),1,0)</f>
        <v>0</v>
      </c>
      <c r="G359" t="str">
        <f>IF(F359=1,E359*100+COUNTIFS($E$5:E359,E359,$F$5:F359,1),"")</f>
        <v/>
      </c>
      <c r="H359" t="str">
        <f>IF(F359=1,C359,"")</f>
        <v/>
      </c>
    </row>
    <row r="360" spans="2:8" x14ac:dyDescent="0.25">
      <c r="B360" s="37"/>
      <c r="C360" s="38"/>
      <c r="D360" s="37"/>
      <c r="E360" t="str">
        <f>IF(C360="","",MONTH(C360))</f>
        <v/>
      </c>
      <c r="F360">
        <f>IF(AND(C360&lt;&gt;"",YEAR(C360)=CalYear,OR(B360=CountryCode,B360="MY")),1,0)</f>
        <v>0</v>
      </c>
      <c r="G360" t="str">
        <f>IF(F360=1,E360*100+COUNTIFS($E$5:E360,E360,$F$5:F360,1),"")</f>
        <v/>
      </c>
      <c r="H360" t="str">
        <f>IF(F360=1,C360,"")</f>
        <v/>
      </c>
    </row>
    <row r="361" spans="2:8" x14ac:dyDescent="0.25">
      <c r="B361" s="37"/>
      <c r="C361" s="38"/>
      <c r="D361" s="37"/>
      <c r="E361" t="str">
        <f>IF(C361="","",MONTH(C361))</f>
        <v/>
      </c>
      <c r="F361">
        <f>IF(AND(C361&lt;&gt;"",YEAR(C361)=CalYear,OR(B361=CountryCode,B361="MY")),1,0)</f>
        <v>0</v>
      </c>
      <c r="G361" t="str">
        <f>IF(F361=1,E361*100+COUNTIFS($E$5:E361,E361,$F$5:F361,1),"")</f>
        <v/>
      </c>
      <c r="H361" t="str">
        <f>IF(F361=1,C361,"")</f>
        <v/>
      </c>
    </row>
    <row r="362" spans="2:8" x14ac:dyDescent="0.25">
      <c r="B362" s="37"/>
      <c r="C362" s="38"/>
      <c r="D362" s="37"/>
      <c r="E362" t="str">
        <f>IF(C362="","",MONTH(C362))</f>
        <v/>
      </c>
      <c r="F362">
        <f>IF(AND(C362&lt;&gt;"",YEAR(C362)=CalYear,OR(B362=CountryCode,B362="MY")),1,0)</f>
        <v>0</v>
      </c>
      <c r="G362" t="str">
        <f>IF(F362=1,E362*100+COUNTIFS($E$5:E362,E362,$F$5:F362,1),"")</f>
        <v/>
      </c>
      <c r="H362" t="str">
        <f>IF(F362=1,C362,"")</f>
        <v/>
      </c>
    </row>
    <row r="363" spans="2:8" x14ac:dyDescent="0.25">
      <c r="B363" s="37"/>
      <c r="C363" s="38"/>
      <c r="D363" s="37"/>
      <c r="E363" t="str">
        <f>IF(C363="","",MONTH(C363))</f>
        <v/>
      </c>
      <c r="F363">
        <f>IF(AND(C363&lt;&gt;"",YEAR(C363)=CalYear,OR(B363=CountryCode,B363="MY")),1,0)</f>
        <v>0</v>
      </c>
      <c r="G363" t="str">
        <f>IF(F363=1,E363*100+COUNTIFS($E$5:E363,E363,$F$5:F363,1),"")</f>
        <v/>
      </c>
      <c r="H363" t="str">
        <f>IF(F363=1,C363,"")</f>
        <v/>
      </c>
    </row>
    <row r="364" spans="2:8" x14ac:dyDescent="0.25">
      <c r="B364" s="37"/>
      <c r="C364" s="38"/>
      <c r="D364" s="37"/>
      <c r="E364" t="str">
        <f>IF(C364="","",MONTH(C364))</f>
        <v/>
      </c>
      <c r="F364">
        <f>IF(AND(C364&lt;&gt;"",YEAR(C364)=CalYear,OR(B364=CountryCode,B364="MY")),1,0)</f>
        <v>0</v>
      </c>
      <c r="G364" t="str">
        <f>IF(F364=1,E364*100+COUNTIFS($E$5:E364,E364,$F$5:F364,1),"")</f>
        <v/>
      </c>
      <c r="H364" t="str">
        <f>IF(F364=1,C364,"")</f>
        <v/>
      </c>
    </row>
    <row r="365" spans="2:8" x14ac:dyDescent="0.25">
      <c r="B365" s="37"/>
      <c r="C365" s="38"/>
      <c r="D365" s="37"/>
      <c r="E365" t="str">
        <f>IF(C365="","",MONTH(C365))</f>
        <v/>
      </c>
      <c r="F365">
        <f>IF(AND(C365&lt;&gt;"",YEAR(C365)=CalYear,OR(B365=CountryCode,B365="MY")),1,0)</f>
        <v>0</v>
      </c>
      <c r="G365" t="str">
        <f>IF(F365=1,E365*100+COUNTIFS($E$5:E365,E365,$F$5:F365,1),"")</f>
        <v/>
      </c>
      <c r="H365" t="str">
        <f>IF(F365=1,C365,"")</f>
        <v/>
      </c>
    </row>
    <row r="366" spans="2:8" x14ac:dyDescent="0.25">
      <c r="B366" s="37"/>
      <c r="C366" s="38"/>
      <c r="D366" s="37"/>
      <c r="E366" t="str">
        <f>IF(C366="","",MONTH(C366))</f>
        <v/>
      </c>
      <c r="F366">
        <f>IF(AND(C366&lt;&gt;"",YEAR(C366)=CalYear,OR(B366=CountryCode,B366="MY")),1,0)</f>
        <v>0</v>
      </c>
      <c r="G366" t="str">
        <f>IF(F366=1,E366*100+COUNTIFS($E$5:E366,E366,$F$5:F366,1),"")</f>
        <v/>
      </c>
      <c r="H366" t="str">
        <f>IF(F366=1,C366,"")</f>
        <v/>
      </c>
    </row>
    <row r="367" spans="2:8" x14ac:dyDescent="0.25">
      <c r="B367" s="37"/>
      <c r="C367" s="38"/>
      <c r="D367" s="37"/>
      <c r="E367" t="str">
        <f>IF(C367="","",MONTH(C367))</f>
        <v/>
      </c>
      <c r="F367">
        <f>IF(AND(C367&lt;&gt;"",YEAR(C367)=CalYear,OR(B367=CountryCode,B367="MY")),1,0)</f>
        <v>0</v>
      </c>
      <c r="G367" t="str">
        <f>IF(F367=1,E367*100+COUNTIFS($E$5:E367,E367,$F$5:F367,1),"")</f>
        <v/>
      </c>
      <c r="H367" t="str">
        <f>IF(F367=1,C367,"")</f>
        <v/>
      </c>
    </row>
    <row r="368" spans="2:8" x14ac:dyDescent="0.25">
      <c r="B368" s="37"/>
      <c r="C368" s="38"/>
      <c r="D368" s="37"/>
      <c r="E368" t="str">
        <f>IF(C368="","",MONTH(C368))</f>
        <v/>
      </c>
      <c r="F368">
        <f>IF(AND(C368&lt;&gt;"",YEAR(C368)=CalYear,OR(B368=CountryCode,B368="MY")),1,0)</f>
        <v>0</v>
      </c>
      <c r="G368" t="str">
        <f>IF(F368=1,E368*100+COUNTIFS($E$5:E368,E368,$F$5:F368,1),"")</f>
        <v/>
      </c>
      <c r="H368" t="str">
        <f>IF(F368=1,C368,"")</f>
        <v/>
      </c>
    </row>
    <row r="369" spans="2:8" x14ac:dyDescent="0.25">
      <c r="B369" s="37"/>
      <c r="C369" s="38"/>
      <c r="D369" s="37"/>
      <c r="E369" t="str">
        <f>IF(C369="","",MONTH(C369))</f>
        <v/>
      </c>
      <c r="F369">
        <f>IF(AND(C369&lt;&gt;"",YEAR(C369)=CalYear,OR(B369=CountryCode,B369="MY")),1,0)</f>
        <v>0</v>
      </c>
      <c r="G369" t="str">
        <f>IF(F369=1,E369*100+COUNTIFS($E$5:E369,E369,$F$5:F369,1),"")</f>
        <v/>
      </c>
      <c r="H369" t="str">
        <f>IF(F369=1,C369,"")</f>
        <v/>
      </c>
    </row>
    <row r="370" spans="2:8" x14ac:dyDescent="0.25">
      <c r="B370" s="37"/>
      <c r="C370" s="38"/>
      <c r="D370" s="37"/>
      <c r="E370" t="str">
        <f>IF(C370="","",MONTH(C370))</f>
        <v/>
      </c>
      <c r="F370">
        <f>IF(AND(C370&lt;&gt;"",YEAR(C370)=CalYear,OR(B370=CountryCode,B370="MY")),1,0)</f>
        <v>0</v>
      </c>
      <c r="G370" t="str">
        <f>IF(F370=1,E370*100+COUNTIFS($E$5:E370,E370,$F$5:F370,1),"")</f>
        <v/>
      </c>
      <c r="H370" t="str">
        <f>IF(F370=1,C370,"")</f>
        <v/>
      </c>
    </row>
    <row r="371" spans="2:8" x14ac:dyDescent="0.25">
      <c r="B371" s="37"/>
      <c r="C371" s="38"/>
      <c r="D371" s="37"/>
      <c r="E371" t="str">
        <f>IF(C371="","",MONTH(C371))</f>
        <v/>
      </c>
      <c r="F371">
        <f>IF(AND(C371&lt;&gt;"",YEAR(C371)=CalYear,OR(B371=CountryCode,B371="MY")),1,0)</f>
        <v>0</v>
      </c>
      <c r="G371" t="str">
        <f>IF(F371=1,E371*100+COUNTIFS($E$5:E371,E371,$F$5:F371,1),"")</f>
        <v/>
      </c>
      <c r="H371" t="str">
        <f>IF(F371=1,C371,"")</f>
        <v/>
      </c>
    </row>
    <row r="372" spans="2:8" x14ac:dyDescent="0.25">
      <c r="B372" s="37"/>
      <c r="C372" s="38"/>
      <c r="D372" s="37"/>
      <c r="E372" t="str">
        <f>IF(C372="","",MONTH(C372))</f>
        <v/>
      </c>
      <c r="F372">
        <f>IF(AND(C372&lt;&gt;"",YEAR(C372)=CalYear,OR(B372=CountryCode,B372="MY")),1,0)</f>
        <v>0</v>
      </c>
      <c r="G372" t="str">
        <f>IF(F372=1,E372*100+COUNTIFS($E$5:E372,E372,$F$5:F372,1),"")</f>
        <v/>
      </c>
      <c r="H372" t="str">
        <f>IF(F372=1,C372,"")</f>
        <v/>
      </c>
    </row>
    <row r="373" spans="2:8" x14ac:dyDescent="0.25">
      <c r="B373" s="37"/>
      <c r="C373" s="38"/>
      <c r="D373" s="37"/>
      <c r="E373" t="str">
        <f>IF(C373="","",MONTH(C373))</f>
        <v/>
      </c>
      <c r="F373">
        <f>IF(AND(C373&lt;&gt;"",YEAR(C373)=CalYear,OR(B373=CountryCode,B373="MY")),1,0)</f>
        <v>0</v>
      </c>
      <c r="G373" t="str">
        <f>IF(F373=1,E373*100+COUNTIFS($E$5:E373,E373,$F$5:F373,1),"")</f>
        <v/>
      </c>
      <c r="H373" t="str">
        <f>IF(F373=1,C373,"")</f>
        <v/>
      </c>
    </row>
    <row r="374" spans="2:8" x14ac:dyDescent="0.25">
      <c r="B374" s="37"/>
      <c r="C374" s="38"/>
      <c r="D374" s="37"/>
      <c r="E374" t="str">
        <f>IF(C374="","",MONTH(C374))</f>
        <v/>
      </c>
      <c r="F374">
        <f>IF(AND(C374&lt;&gt;"",YEAR(C374)=CalYear,OR(B374=CountryCode,B374="MY")),1,0)</f>
        <v>0</v>
      </c>
      <c r="G374" t="str">
        <f>IF(F374=1,E374*100+COUNTIFS($E$5:E374,E374,$F$5:F374,1),"")</f>
        <v/>
      </c>
      <c r="H374" t="str">
        <f>IF(F374=1,C374,"")</f>
        <v/>
      </c>
    </row>
    <row r="375" spans="2:8" x14ac:dyDescent="0.25">
      <c r="B375" s="37"/>
      <c r="C375" s="38"/>
      <c r="D375" s="37"/>
      <c r="E375" t="str">
        <f>IF(C375="","",MONTH(C375))</f>
        <v/>
      </c>
      <c r="F375">
        <f>IF(AND(C375&lt;&gt;"",YEAR(C375)=CalYear,OR(B375=CountryCode,B375="MY")),1,0)</f>
        <v>0</v>
      </c>
      <c r="G375" t="str">
        <f>IF(F375=1,E375*100+COUNTIFS($E$5:E375,E375,$F$5:F375,1),"")</f>
        <v/>
      </c>
      <c r="H375" t="str">
        <f>IF(F375=1,C375,"")</f>
        <v/>
      </c>
    </row>
    <row r="376" spans="2:8" x14ac:dyDescent="0.25">
      <c r="B376" s="37"/>
      <c r="C376" s="38"/>
      <c r="D376" s="37"/>
      <c r="E376" t="str">
        <f>IF(C376="","",MONTH(C376))</f>
        <v/>
      </c>
      <c r="F376">
        <f>IF(AND(C376&lt;&gt;"",YEAR(C376)=CalYear,OR(B376=CountryCode,B376="MY")),1,0)</f>
        <v>0</v>
      </c>
      <c r="G376" t="str">
        <f>IF(F376=1,E376*100+COUNTIFS($E$5:E376,E376,$F$5:F376,1),"")</f>
        <v/>
      </c>
      <c r="H376" t="str">
        <f>IF(F376=1,C376,"")</f>
        <v/>
      </c>
    </row>
    <row r="377" spans="2:8" x14ac:dyDescent="0.25">
      <c r="B377" s="37"/>
      <c r="C377" s="38"/>
      <c r="D377" s="37"/>
      <c r="E377" t="str">
        <f>IF(C377="","",MONTH(C377))</f>
        <v/>
      </c>
      <c r="F377">
        <f>IF(AND(C377&lt;&gt;"",YEAR(C377)=CalYear,OR(B377=CountryCode,B377="MY")),1,0)</f>
        <v>0</v>
      </c>
      <c r="G377" t="str">
        <f>IF(F377=1,E377*100+COUNTIFS($E$5:E377,E377,$F$5:F377,1),"")</f>
        <v/>
      </c>
      <c r="H377" t="str">
        <f>IF(F377=1,C377,"")</f>
        <v/>
      </c>
    </row>
    <row r="378" spans="2:8" x14ac:dyDescent="0.25">
      <c r="B378" s="37"/>
      <c r="C378" s="38"/>
      <c r="D378" s="37"/>
      <c r="E378" t="str">
        <f>IF(C378="","",MONTH(C378))</f>
        <v/>
      </c>
      <c r="F378">
        <f>IF(AND(C378&lt;&gt;"",YEAR(C378)=CalYear,OR(B378=CountryCode,B378="MY")),1,0)</f>
        <v>0</v>
      </c>
      <c r="G378" t="str">
        <f>IF(F378=1,E378*100+COUNTIFS($E$5:E378,E378,$F$5:F378,1),"")</f>
        <v/>
      </c>
      <c r="H378" t="str">
        <f>IF(F378=1,C378,"")</f>
        <v/>
      </c>
    </row>
    <row r="379" spans="2:8" x14ac:dyDescent="0.25">
      <c r="B379" s="37"/>
      <c r="C379" s="38"/>
      <c r="D379" s="37"/>
      <c r="E379" t="str">
        <f>IF(C379="","",MONTH(C379))</f>
        <v/>
      </c>
      <c r="F379">
        <f>IF(AND(C379&lt;&gt;"",YEAR(C379)=CalYear,OR(B379=CountryCode,B379="MY")),1,0)</f>
        <v>0</v>
      </c>
      <c r="G379" t="str">
        <f>IF(F379=1,E379*100+COUNTIFS($E$5:E379,E379,$F$5:F379,1),"")</f>
        <v/>
      </c>
      <c r="H379" t="str">
        <f>IF(F379=1,C379,"")</f>
        <v/>
      </c>
    </row>
    <row r="380" spans="2:8" x14ac:dyDescent="0.25">
      <c r="B380" s="37"/>
      <c r="C380" s="38"/>
      <c r="D380" s="37"/>
      <c r="E380" t="str">
        <f>IF(C380="","",MONTH(C380))</f>
        <v/>
      </c>
      <c r="F380">
        <f>IF(AND(C380&lt;&gt;"",YEAR(C380)=CalYear,OR(B380=CountryCode,B380="MY")),1,0)</f>
        <v>0</v>
      </c>
      <c r="G380" t="str">
        <f>IF(F380=1,E380*100+COUNTIFS($E$5:E380,E380,$F$5:F380,1),"")</f>
        <v/>
      </c>
      <c r="H380" t="str">
        <f>IF(F380=1,C380,"")</f>
        <v/>
      </c>
    </row>
    <row r="381" spans="2:8" x14ac:dyDescent="0.25">
      <c r="B381" s="37"/>
      <c r="C381" s="38"/>
      <c r="D381" s="37"/>
      <c r="E381" t="str">
        <f>IF(C381="","",MONTH(C381))</f>
        <v/>
      </c>
      <c r="F381">
        <f>IF(AND(C381&lt;&gt;"",YEAR(C381)=CalYear,OR(B381=CountryCode,B381="MY")),1,0)</f>
        <v>0</v>
      </c>
      <c r="G381" t="str">
        <f>IF(F381=1,E381*100+COUNTIFS($E$5:E381,E381,$F$5:F381,1),"")</f>
        <v/>
      </c>
      <c r="H381" t="str">
        <f>IF(F381=1,C381,"")</f>
        <v/>
      </c>
    </row>
    <row r="382" spans="2:8" x14ac:dyDescent="0.25">
      <c r="B382" s="37"/>
      <c r="C382" s="38"/>
      <c r="D382" s="37"/>
      <c r="E382" t="str">
        <f>IF(C382="","",MONTH(C382))</f>
        <v/>
      </c>
      <c r="F382">
        <f>IF(AND(C382&lt;&gt;"",YEAR(C382)=CalYear,OR(B382=CountryCode,B382="MY")),1,0)</f>
        <v>0</v>
      </c>
      <c r="G382" t="str">
        <f>IF(F382=1,E382*100+COUNTIFS($E$5:E382,E382,$F$5:F382,1),"")</f>
        <v/>
      </c>
      <c r="H382" t="str">
        <f>IF(F382=1,C382,"")</f>
        <v/>
      </c>
    </row>
    <row r="383" spans="2:8" x14ac:dyDescent="0.25">
      <c r="B383" s="37"/>
      <c r="C383" s="38"/>
      <c r="D383" s="37"/>
      <c r="E383" t="str">
        <f>IF(C383="","",MONTH(C383))</f>
        <v/>
      </c>
      <c r="F383">
        <f>IF(AND(C383&lt;&gt;"",YEAR(C383)=CalYear,OR(B383=CountryCode,B383="MY")),1,0)</f>
        <v>0</v>
      </c>
      <c r="G383" t="str">
        <f>IF(F383=1,E383*100+COUNTIFS($E$5:E383,E383,$F$5:F383,1),"")</f>
        <v/>
      </c>
      <c r="H383" t="str">
        <f>IF(F383=1,C383,"")</f>
        <v/>
      </c>
    </row>
    <row r="384" spans="2:8" x14ac:dyDescent="0.25">
      <c r="B384" s="37"/>
      <c r="C384" s="38"/>
      <c r="D384" s="37"/>
      <c r="E384" t="str">
        <f>IF(C384="","",MONTH(C384))</f>
        <v/>
      </c>
      <c r="F384">
        <f>IF(AND(C384&lt;&gt;"",YEAR(C384)=CalYear,OR(B384=CountryCode,B384="MY")),1,0)</f>
        <v>0</v>
      </c>
      <c r="G384" t="str">
        <f>IF(F384=1,E384*100+COUNTIFS($E$5:E384,E384,$F$5:F384,1),"")</f>
        <v/>
      </c>
      <c r="H384" t="str">
        <f>IF(F384=1,C384,"")</f>
        <v/>
      </c>
    </row>
    <row r="385" spans="2:8" x14ac:dyDescent="0.25">
      <c r="B385" s="37"/>
      <c r="C385" s="38"/>
      <c r="D385" s="37"/>
      <c r="E385" t="str">
        <f>IF(C385="","",MONTH(C385))</f>
        <v/>
      </c>
      <c r="F385">
        <f>IF(AND(C385&lt;&gt;"",YEAR(C385)=CalYear,OR(B385=CountryCode,B385="MY")),1,0)</f>
        <v>0</v>
      </c>
      <c r="G385" t="str">
        <f>IF(F385=1,E385*100+COUNTIFS($E$5:E385,E385,$F$5:F385,1),"")</f>
        <v/>
      </c>
      <c r="H385" t="str">
        <f>IF(F385=1,C385,"")</f>
        <v/>
      </c>
    </row>
    <row r="386" spans="2:8" x14ac:dyDescent="0.25">
      <c r="B386" s="37"/>
      <c r="C386" s="38"/>
      <c r="D386" s="37"/>
      <c r="E386" t="str">
        <f>IF(C386="","",MONTH(C386))</f>
        <v/>
      </c>
      <c r="F386">
        <f>IF(AND(C386&lt;&gt;"",YEAR(C386)=CalYear,OR(B386=CountryCode,B386="MY")),1,0)</f>
        <v>0</v>
      </c>
      <c r="G386" t="str">
        <f>IF(F386=1,E386*100+COUNTIFS($E$5:E386,E386,$F$5:F386,1),"")</f>
        <v/>
      </c>
      <c r="H386" t="str">
        <f>IF(F386=1,C386,"")</f>
        <v/>
      </c>
    </row>
    <row r="387" spans="2:8" x14ac:dyDescent="0.25">
      <c r="B387" s="37"/>
      <c r="C387" s="38"/>
      <c r="D387" s="37"/>
      <c r="E387" t="str">
        <f>IF(C387="","",MONTH(C387))</f>
        <v/>
      </c>
      <c r="F387">
        <f>IF(AND(C387&lt;&gt;"",YEAR(C387)=CalYear,OR(B387=CountryCode,B387="MY")),1,0)</f>
        <v>0</v>
      </c>
      <c r="G387" t="str">
        <f>IF(F387=1,E387*100+COUNTIFS($E$5:E387,E387,$F$5:F387,1),"")</f>
        <v/>
      </c>
      <c r="H387" t="str">
        <f>IF(F387=1,C387,"")</f>
        <v/>
      </c>
    </row>
    <row r="388" spans="2:8" x14ac:dyDescent="0.25">
      <c r="B388" s="37"/>
      <c r="C388" s="38"/>
      <c r="D388" s="37"/>
      <c r="E388" t="str">
        <f>IF(C388="","",MONTH(C388))</f>
        <v/>
      </c>
      <c r="F388">
        <f>IF(AND(C388&lt;&gt;"",YEAR(C388)=CalYear,OR(B388=CountryCode,B388="MY")),1,0)</f>
        <v>0</v>
      </c>
      <c r="G388" t="str">
        <f>IF(F388=1,E388*100+COUNTIFS($E$5:E388,E388,$F$5:F388,1),"")</f>
        <v/>
      </c>
      <c r="H388" t="str">
        <f>IF(F388=1,C388,"")</f>
        <v/>
      </c>
    </row>
    <row r="389" spans="2:8" x14ac:dyDescent="0.25">
      <c r="B389" s="37"/>
      <c r="C389" s="38"/>
      <c r="D389" s="37"/>
      <c r="E389" t="str">
        <f>IF(C389="","",MONTH(C389))</f>
        <v/>
      </c>
      <c r="F389">
        <f>IF(AND(C389&lt;&gt;"",YEAR(C389)=CalYear,OR(B389=CountryCode,B389="MY")),1,0)</f>
        <v>0</v>
      </c>
      <c r="G389" t="str">
        <f>IF(F389=1,E389*100+COUNTIFS($E$5:E389,E389,$F$5:F389,1),"")</f>
        <v/>
      </c>
      <c r="H389" t="str">
        <f>IF(F389=1,C389,"")</f>
        <v/>
      </c>
    </row>
    <row r="390" spans="2:8" x14ac:dyDescent="0.25">
      <c r="B390" s="37"/>
      <c r="C390" s="38"/>
      <c r="D390" s="37"/>
      <c r="E390" t="str">
        <f>IF(C390="","",MONTH(C390))</f>
        <v/>
      </c>
      <c r="F390">
        <f>IF(AND(C390&lt;&gt;"",YEAR(C390)=CalYear,OR(B390=CountryCode,B390="MY")),1,0)</f>
        <v>0</v>
      </c>
      <c r="G390" t="str">
        <f>IF(F390=1,E390*100+COUNTIFS($E$5:E390,E390,$F$5:F390,1),"")</f>
        <v/>
      </c>
      <c r="H390" t="str">
        <f>IF(F390=1,C390,"")</f>
        <v/>
      </c>
    </row>
    <row r="391" spans="2:8" x14ac:dyDescent="0.25">
      <c r="B391" s="37"/>
      <c r="C391" s="38"/>
      <c r="D391" s="37"/>
      <c r="E391" t="str">
        <f>IF(C391="","",MONTH(C391))</f>
        <v/>
      </c>
      <c r="F391">
        <f>IF(AND(C391&lt;&gt;"",YEAR(C391)=CalYear,OR(B391=CountryCode,B391="MY")),1,0)</f>
        <v>0</v>
      </c>
      <c r="G391" t="str">
        <f>IF(F391=1,E391*100+COUNTIFS($E$5:E391,E391,$F$5:F391,1),"")</f>
        <v/>
      </c>
      <c r="H391" t="str">
        <f>IF(F391=1,C391,"")</f>
        <v/>
      </c>
    </row>
    <row r="392" spans="2:8" x14ac:dyDescent="0.25">
      <c r="B392" s="37"/>
      <c r="C392" s="38"/>
      <c r="D392" s="37"/>
      <c r="E392" t="str">
        <f>IF(C392="","",MONTH(C392))</f>
        <v/>
      </c>
      <c r="F392">
        <f>IF(AND(C392&lt;&gt;"",YEAR(C392)=CalYear,OR(B392=CountryCode,B392="MY")),1,0)</f>
        <v>0</v>
      </c>
      <c r="G392" t="str">
        <f>IF(F392=1,E392*100+COUNTIFS($E$5:E392,E392,$F$5:F392,1),"")</f>
        <v/>
      </c>
      <c r="H392" t="str">
        <f>IF(F392=1,C392,"")</f>
        <v/>
      </c>
    </row>
    <row r="393" spans="2:8" x14ac:dyDescent="0.25">
      <c r="B393" s="37"/>
      <c r="C393" s="38"/>
      <c r="D393" s="37"/>
      <c r="E393" t="str">
        <f>IF(C393="","",MONTH(C393))</f>
        <v/>
      </c>
      <c r="F393">
        <f>IF(AND(C393&lt;&gt;"",YEAR(C393)=CalYear,OR(B393=CountryCode,B393="MY")),1,0)</f>
        <v>0</v>
      </c>
      <c r="G393" t="str">
        <f>IF(F393=1,E393*100+COUNTIFS($E$5:E393,E393,$F$5:F393,1),"")</f>
        <v/>
      </c>
      <c r="H393" t="str">
        <f>IF(F393=1,C393,"")</f>
        <v/>
      </c>
    </row>
    <row r="394" spans="2:8" x14ac:dyDescent="0.25">
      <c r="B394" s="37"/>
      <c r="C394" s="38"/>
      <c r="D394" s="37"/>
      <c r="E394" t="str">
        <f>IF(C394="","",MONTH(C394))</f>
        <v/>
      </c>
      <c r="F394">
        <f>IF(AND(C394&lt;&gt;"",YEAR(C394)=CalYear,OR(B394=CountryCode,B394="MY")),1,0)</f>
        <v>0</v>
      </c>
      <c r="G394" t="str">
        <f>IF(F394=1,E394*100+COUNTIFS($E$5:E394,E394,$F$5:F394,1),"")</f>
        <v/>
      </c>
      <c r="H394" t="str">
        <f>IF(F394=1,C394,"")</f>
        <v/>
      </c>
    </row>
    <row r="395" spans="2:8" x14ac:dyDescent="0.25">
      <c r="B395" s="37"/>
      <c r="C395" s="38"/>
      <c r="D395" s="37"/>
      <c r="E395" t="str">
        <f>IF(C395="","",MONTH(C395))</f>
        <v/>
      </c>
      <c r="F395">
        <f>IF(AND(C395&lt;&gt;"",YEAR(C395)=CalYear,OR(B395=CountryCode,B395="MY")),1,0)</f>
        <v>0</v>
      </c>
      <c r="G395" t="str">
        <f>IF(F395=1,E395*100+COUNTIFS($E$5:E395,E395,$F$5:F395,1),"")</f>
        <v/>
      </c>
      <c r="H395" t="str">
        <f>IF(F395=1,C395,"")</f>
        <v/>
      </c>
    </row>
    <row r="396" spans="2:8" x14ac:dyDescent="0.25">
      <c r="B396" s="37"/>
      <c r="C396" s="38"/>
      <c r="D396" s="37"/>
      <c r="E396" t="str">
        <f>IF(C396="","",MONTH(C396))</f>
        <v/>
      </c>
      <c r="F396">
        <f>IF(AND(C396&lt;&gt;"",YEAR(C396)=CalYear,OR(B396=CountryCode,B396="MY")),1,0)</f>
        <v>0</v>
      </c>
      <c r="G396" t="str">
        <f>IF(F396=1,E396*100+COUNTIFS($E$5:E396,E396,$F$5:F396,1),"")</f>
        <v/>
      </c>
      <c r="H396" t="str">
        <f>IF(F396=1,C396,"")</f>
        <v/>
      </c>
    </row>
    <row r="397" spans="2:8" x14ac:dyDescent="0.25">
      <c r="B397" s="37"/>
      <c r="C397" s="38"/>
      <c r="D397" s="37"/>
      <c r="E397" t="str">
        <f>IF(C397="","",MONTH(C397))</f>
        <v/>
      </c>
      <c r="F397">
        <f>IF(AND(C397&lt;&gt;"",YEAR(C397)=CalYear,OR(B397=CountryCode,B397="MY")),1,0)</f>
        <v>0</v>
      </c>
      <c r="G397" t="str">
        <f>IF(F397=1,E397*100+COUNTIFS($E$5:E397,E397,$F$5:F397,1),"")</f>
        <v/>
      </c>
      <c r="H397" t="str">
        <f>IF(F397=1,C397,"")</f>
        <v/>
      </c>
    </row>
    <row r="398" spans="2:8" x14ac:dyDescent="0.25">
      <c r="B398" s="37"/>
      <c r="C398" s="38"/>
      <c r="D398" s="37"/>
      <c r="E398" t="str">
        <f>IF(C398="","",MONTH(C398))</f>
        <v/>
      </c>
      <c r="F398">
        <f>IF(AND(C398&lt;&gt;"",YEAR(C398)=CalYear,OR(B398=CountryCode,B398="MY")),1,0)</f>
        <v>0</v>
      </c>
      <c r="G398" t="str">
        <f>IF(F398=1,E398*100+COUNTIFS($E$5:E398,E398,$F$5:F398,1),"")</f>
        <v/>
      </c>
      <c r="H398" t="str">
        <f>IF(F398=1,C398,"")</f>
        <v/>
      </c>
    </row>
    <row r="399" spans="2:8" x14ac:dyDescent="0.25">
      <c r="B399" s="37"/>
      <c r="C399" s="38"/>
      <c r="D399" s="37"/>
      <c r="E399" t="str">
        <f>IF(C399="","",MONTH(C399))</f>
        <v/>
      </c>
      <c r="F399">
        <f>IF(AND(C399&lt;&gt;"",YEAR(C399)=CalYear,OR(B399=CountryCode,B399="MY")),1,0)</f>
        <v>0</v>
      </c>
      <c r="G399" t="str">
        <f>IF(F399=1,E399*100+COUNTIFS($E$5:E399,E399,$F$5:F399,1),"")</f>
        <v/>
      </c>
      <c r="H399" t="str">
        <f>IF(F399=1,C399,"")</f>
        <v/>
      </c>
    </row>
    <row r="400" spans="2:8" x14ac:dyDescent="0.25">
      <c r="B400" s="37"/>
      <c r="C400" s="38"/>
      <c r="D400" s="37"/>
      <c r="E400" t="str">
        <f>IF(C400="","",MONTH(C400))</f>
        <v/>
      </c>
      <c r="F400">
        <f>IF(AND(C400&lt;&gt;"",YEAR(C400)=CalYear,OR(B400=CountryCode,B400="MY")),1,0)</f>
        <v>0</v>
      </c>
      <c r="G400" t="str">
        <f>IF(F400=1,E400*100+COUNTIFS($E$5:E400,E400,$F$5:F400,1),"")</f>
        <v/>
      </c>
      <c r="H400" t="str">
        <f>IF(F400=1,C400,"")</f>
        <v/>
      </c>
    </row>
    <row r="401" spans="2:8" x14ac:dyDescent="0.25">
      <c r="B401" s="37"/>
      <c r="C401" s="38"/>
      <c r="D401" s="37"/>
      <c r="E401" t="str">
        <f>IF(C401="","",MONTH(C401))</f>
        <v/>
      </c>
      <c r="F401">
        <f>IF(AND(C401&lt;&gt;"",YEAR(C401)=CalYear,OR(B401=CountryCode,B401="MY")),1,0)</f>
        <v>0</v>
      </c>
      <c r="G401" t="str">
        <f>IF(F401=1,E401*100+COUNTIFS($E$5:E401,E401,$F$5:F401,1),"")</f>
        <v/>
      </c>
      <c r="H401" t="str">
        <f>IF(F401=1,C401,"")</f>
        <v/>
      </c>
    </row>
    <row r="402" spans="2:8" x14ac:dyDescent="0.25">
      <c r="B402" s="37"/>
      <c r="C402" s="38"/>
      <c r="D402" s="37"/>
      <c r="E402" t="str">
        <f>IF(C402="","",MONTH(C402))</f>
        <v/>
      </c>
      <c r="F402">
        <f>IF(AND(C402&lt;&gt;"",YEAR(C402)=CalYear,OR(B402=CountryCode,B402="MY")),1,0)</f>
        <v>0</v>
      </c>
      <c r="G402" t="str">
        <f>IF(F402=1,E402*100+COUNTIFS($E$5:E402,E402,$F$5:F402,1),"")</f>
        <v/>
      </c>
      <c r="H402" t="str">
        <f>IF(F402=1,C402,"")</f>
        <v/>
      </c>
    </row>
    <row r="403" spans="2:8" x14ac:dyDescent="0.25">
      <c r="B403" s="37"/>
      <c r="C403" s="38"/>
      <c r="D403" s="37"/>
      <c r="E403" t="str">
        <f>IF(C403="","",MONTH(C403))</f>
        <v/>
      </c>
      <c r="F403">
        <f>IF(AND(C403&lt;&gt;"",YEAR(C403)=CalYear,OR(B403=CountryCode,B403="MY")),1,0)</f>
        <v>0</v>
      </c>
      <c r="G403" t="str">
        <f>IF(F403=1,E403*100+COUNTIFS($E$5:E403,E403,$F$5:F403,1),"")</f>
        <v/>
      </c>
      <c r="H403" t="str">
        <f>IF(F403=1,C403,"")</f>
        <v/>
      </c>
    </row>
    <row r="404" spans="2:8" x14ac:dyDescent="0.25">
      <c r="B404" s="37"/>
      <c r="C404" s="38"/>
      <c r="D404" s="37"/>
      <c r="E404" t="str">
        <f>IF(C404="","",MONTH(C404))</f>
        <v/>
      </c>
      <c r="F404">
        <f>IF(AND(C404&lt;&gt;"",YEAR(C404)=CalYear,OR(B404=CountryCode,B404="MY")),1,0)</f>
        <v>0</v>
      </c>
      <c r="G404" t="str">
        <f>IF(F404=1,E404*100+COUNTIFS($E$5:E404,E404,$F$5:F404,1),"")</f>
        <v/>
      </c>
      <c r="H404" t="str">
        <f>IF(F404=1,C404,"")</f>
        <v/>
      </c>
    </row>
    <row r="405" spans="2:8" x14ac:dyDescent="0.25">
      <c r="B405" s="37"/>
      <c r="C405" s="38"/>
      <c r="D405" s="37"/>
      <c r="E405" t="str">
        <f>IF(C405="","",MONTH(C405))</f>
        <v/>
      </c>
      <c r="F405">
        <f>IF(AND(C405&lt;&gt;"",YEAR(C405)=CalYear,OR(B405=CountryCode,B405="MY")),1,0)</f>
        <v>0</v>
      </c>
      <c r="G405" t="str">
        <f>IF(F405=1,E405*100+COUNTIFS($E$5:E405,E405,$F$5:F405,1),"")</f>
        <v/>
      </c>
      <c r="H405" t="str">
        <f>IF(F405=1,C405,"")</f>
        <v/>
      </c>
    </row>
    <row r="406" spans="2:8" x14ac:dyDescent="0.25">
      <c r="B406" s="37"/>
      <c r="C406" s="38"/>
      <c r="D406" s="37"/>
      <c r="E406" t="str">
        <f>IF(C406="","",MONTH(C406))</f>
        <v/>
      </c>
      <c r="F406">
        <f>IF(AND(C406&lt;&gt;"",YEAR(C406)=CalYear,OR(B406=CountryCode,B406="MY")),1,0)</f>
        <v>0</v>
      </c>
      <c r="G406" t="str">
        <f>IF(F406=1,E406*100+COUNTIFS($E$5:E406,E406,$F$5:F406,1),"")</f>
        <v/>
      </c>
      <c r="H406" t="str">
        <f>IF(F406=1,C406,"")</f>
        <v/>
      </c>
    </row>
    <row r="407" spans="2:8" x14ac:dyDescent="0.25">
      <c r="B407" s="37"/>
      <c r="C407" s="38"/>
      <c r="D407" s="37"/>
      <c r="E407" t="str">
        <f>IF(C407="","",MONTH(C407))</f>
        <v/>
      </c>
      <c r="F407">
        <f>IF(AND(C407&lt;&gt;"",YEAR(C407)=CalYear,OR(B407=CountryCode,B407="MY")),1,0)</f>
        <v>0</v>
      </c>
      <c r="G407" t="str">
        <f>IF(F407=1,E407*100+COUNTIFS($E$5:E407,E407,$F$5:F407,1),"")</f>
        <v/>
      </c>
      <c r="H407" t="str">
        <f>IF(F407=1,C407,"")</f>
        <v/>
      </c>
    </row>
    <row r="408" spans="2:8" x14ac:dyDescent="0.25">
      <c r="B408" s="37"/>
      <c r="C408" s="38"/>
      <c r="D408" s="37"/>
      <c r="E408" t="str">
        <f>IF(C408="","",MONTH(C408))</f>
        <v/>
      </c>
      <c r="F408">
        <f>IF(AND(C408&lt;&gt;"",YEAR(C408)=CalYear,OR(B408=CountryCode,B408="MY")),1,0)</f>
        <v>0</v>
      </c>
      <c r="G408" t="str">
        <f>IF(F408=1,E408*100+COUNTIFS($E$5:E408,E408,$F$5:F408,1),"")</f>
        <v/>
      </c>
      <c r="H408" t="str">
        <f>IF(F408=1,C408,"")</f>
        <v/>
      </c>
    </row>
    <row r="409" spans="2:8" x14ac:dyDescent="0.25">
      <c r="B409" s="37"/>
      <c r="C409" s="38"/>
      <c r="D409" s="37"/>
      <c r="E409" t="str">
        <f>IF(C409="","",MONTH(C409))</f>
        <v/>
      </c>
      <c r="F409">
        <f>IF(AND(C409&lt;&gt;"",YEAR(C409)=CalYear,OR(B409=CountryCode,B409="MY")),1,0)</f>
        <v>0</v>
      </c>
      <c r="G409" t="str">
        <f>IF(F409=1,E409*100+COUNTIFS($E$5:E409,E409,$F$5:F409,1),"")</f>
        <v/>
      </c>
      <c r="H409" t="str">
        <f>IF(F409=1,C409,"")</f>
        <v/>
      </c>
    </row>
    <row r="410" spans="2:8" x14ac:dyDescent="0.25">
      <c r="B410" s="37"/>
      <c r="C410" s="38"/>
      <c r="D410" s="37"/>
      <c r="E410" t="str">
        <f>IF(C410="","",MONTH(C410))</f>
        <v/>
      </c>
      <c r="F410">
        <f>IF(AND(C410&lt;&gt;"",YEAR(C410)=CalYear,OR(B410=CountryCode,B410="MY")),1,0)</f>
        <v>0</v>
      </c>
      <c r="G410" t="str">
        <f>IF(F410=1,E410*100+COUNTIFS($E$5:E410,E410,$F$5:F410,1),"")</f>
        <v/>
      </c>
      <c r="H410" t="str">
        <f>IF(F410=1,C410,"")</f>
        <v/>
      </c>
    </row>
    <row r="411" spans="2:8" x14ac:dyDescent="0.25">
      <c r="B411" s="37"/>
      <c r="C411" s="38"/>
      <c r="D411" s="37"/>
      <c r="E411" t="str">
        <f>IF(C411="","",MONTH(C411))</f>
        <v/>
      </c>
      <c r="F411">
        <f>IF(AND(C411&lt;&gt;"",YEAR(C411)=CalYear,OR(B411=CountryCode,B411="MY")),1,0)</f>
        <v>0</v>
      </c>
      <c r="G411" t="str">
        <f>IF(F411=1,E411*100+COUNTIFS($E$5:E411,E411,$F$5:F411,1),"")</f>
        <v/>
      </c>
      <c r="H411" t="str">
        <f>IF(F411=1,C411,"")</f>
        <v/>
      </c>
    </row>
    <row r="412" spans="2:8" x14ac:dyDescent="0.25">
      <c r="B412" s="37"/>
      <c r="C412" s="38"/>
      <c r="D412" s="37"/>
      <c r="E412" t="str">
        <f>IF(C412="","",MONTH(C412))</f>
        <v/>
      </c>
      <c r="F412">
        <f>IF(AND(C412&lt;&gt;"",YEAR(C412)=CalYear,OR(B412=CountryCode,B412="MY")),1,0)</f>
        <v>0</v>
      </c>
      <c r="G412" t="str">
        <f>IF(F412=1,E412*100+COUNTIFS($E$5:E412,E412,$F$5:F412,1),"")</f>
        <v/>
      </c>
      <c r="H412" t="str">
        <f>IF(F412=1,C412,"")</f>
        <v/>
      </c>
    </row>
    <row r="413" spans="2:8" x14ac:dyDescent="0.25">
      <c r="B413" s="37"/>
      <c r="C413" s="38"/>
      <c r="D413" s="37"/>
      <c r="E413" t="str">
        <f>IF(C413="","",MONTH(C413))</f>
        <v/>
      </c>
      <c r="F413">
        <f>IF(AND(C413&lt;&gt;"",YEAR(C413)=CalYear,OR(B413=CountryCode,B413="MY")),1,0)</f>
        <v>0</v>
      </c>
      <c r="G413" t="str">
        <f>IF(F413=1,E413*100+COUNTIFS($E$5:E413,E413,$F$5:F413,1),"")</f>
        <v/>
      </c>
      <c r="H413" t="str">
        <f>IF(F413=1,C413,"")</f>
        <v/>
      </c>
    </row>
    <row r="414" spans="2:8" x14ac:dyDescent="0.25">
      <c r="B414" s="37"/>
      <c r="C414" s="38"/>
      <c r="D414" s="37"/>
      <c r="E414" t="str">
        <f>IF(C414="","",MONTH(C414))</f>
        <v/>
      </c>
      <c r="F414">
        <f>IF(AND(C414&lt;&gt;"",YEAR(C414)=CalYear,OR(B414=CountryCode,B414="MY")),1,0)</f>
        <v>0</v>
      </c>
      <c r="G414" t="str">
        <f>IF(F414=1,E414*100+COUNTIFS($E$5:E414,E414,$F$5:F414,1),"")</f>
        <v/>
      </c>
      <c r="H414" t="str">
        <f>IF(F414=1,C414,"")</f>
        <v/>
      </c>
    </row>
    <row r="415" spans="2:8" x14ac:dyDescent="0.25">
      <c r="B415" s="37"/>
      <c r="C415" s="38"/>
      <c r="D415" s="37"/>
      <c r="E415" t="str">
        <f>IF(C415="","",MONTH(C415))</f>
        <v/>
      </c>
      <c r="F415">
        <f>IF(AND(C415&lt;&gt;"",YEAR(C415)=CalYear,OR(B415=CountryCode,B415="MY")),1,0)</f>
        <v>0</v>
      </c>
      <c r="G415" t="str">
        <f>IF(F415=1,E415*100+COUNTIFS($E$5:E415,E415,$F$5:F415,1),"")</f>
        <v/>
      </c>
      <c r="H415" t="str">
        <f>IF(F415=1,C415,"")</f>
        <v/>
      </c>
    </row>
    <row r="416" spans="2:8" x14ac:dyDescent="0.25">
      <c r="B416" s="37"/>
      <c r="C416" s="38"/>
      <c r="D416" s="37"/>
      <c r="E416" t="str">
        <f>IF(C416="","",MONTH(C416))</f>
        <v/>
      </c>
      <c r="F416">
        <f>IF(AND(C416&lt;&gt;"",YEAR(C416)=CalYear,OR(B416=CountryCode,B416="MY")),1,0)</f>
        <v>0</v>
      </c>
      <c r="G416" t="str">
        <f>IF(F416=1,E416*100+COUNTIFS($E$5:E416,E416,$F$5:F416,1),"")</f>
        <v/>
      </c>
      <c r="H416" t="str">
        <f>IF(F416=1,C416,"")</f>
        <v/>
      </c>
    </row>
    <row r="417" spans="2:8" x14ac:dyDescent="0.25">
      <c r="B417" s="37"/>
      <c r="C417" s="38"/>
      <c r="D417" s="37"/>
      <c r="E417" t="str">
        <f>IF(C417="","",MONTH(C417))</f>
        <v/>
      </c>
      <c r="F417">
        <f>IF(AND(C417&lt;&gt;"",YEAR(C417)=CalYear,OR(B417=CountryCode,B417="MY")),1,0)</f>
        <v>0</v>
      </c>
      <c r="G417" t="str">
        <f>IF(F417=1,E417*100+COUNTIFS($E$5:E417,E417,$F$5:F417,1),"")</f>
        <v/>
      </c>
      <c r="H417" t="str">
        <f>IF(F417=1,C417,"")</f>
        <v/>
      </c>
    </row>
    <row r="418" spans="2:8" x14ac:dyDescent="0.25">
      <c r="B418" s="37"/>
      <c r="C418" s="38"/>
      <c r="D418" s="37"/>
      <c r="E418" t="str">
        <f>IF(C418="","",MONTH(C418))</f>
        <v/>
      </c>
      <c r="F418">
        <f>IF(AND(C418&lt;&gt;"",YEAR(C418)=CalYear,OR(B418=CountryCode,B418="MY")),1,0)</f>
        <v>0</v>
      </c>
      <c r="G418" t="str">
        <f>IF(F418=1,E418*100+COUNTIFS($E$5:E418,E418,$F$5:F418,1),"")</f>
        <v/>
      </c>
      <c r="H418" t="str">
        <f>IF(F418=1,C418,"")</f>
        <v/>
      </c>
    </row>
    <row r="419" spans="2:8" x14ac:dyDescent="0.25">
      <c r="B419" s="37"/>
      <c r="C419" s="38"/>
      <c r="D419" s="37"/>
      <c r="E419" t="str">
        <f>IF(C419="","",MONTH(C419))</f>
        <v/>
      </c>
      <c r="F419">
        <f>IF(AND(C419&lt;&gt;"",YEAR(C419)=CalYear,OR(B419=CountryCode,B419="MY")),1,0)</f>
        <v>0</v>
      </c>
      <c r="G419" t="str">
        <f>IF(F419=1,E419*100+COUNTIFS($E$5:E419,E419,$F$5:F419,1),"")</f>
        <v/>
      </c>
      <c r="H419" t="str">
        <f>IF(F419=1,C419,"")</f>
        <v/>
      </c>
    </row>
    <row r="420" spans="2:8" x14ac:dyDescent="0.25">
      <c r="B420" s="37"/>
      <c r="C420" s="38"/>
      <c r="D420" s="37"/>
      <c r="E420" t="str">
        <f>IF(C420="","",MONTH(C420))</f>
        <v/>
      </c>
      <c r="F420">
        <f>IF(AND(C420&lt;&gt;"",YEAR(C420)=CalYear,OR(B420=CountryCode,B420="MY")),1,0)</f>
        <v>0</v>
      </c>
      <c r="G420" t="str">
        <f>IF(F420=1,E420*100+COUNTIFS($E$5:E420,E420,$F$5:F420,1),"")</f>
        <v/>
      </c>
      <c r="H420" t="str">
        <f>IF(F420=1,C420,"")</f>
        <v/>
      </c>
    </row>
    <row r="421" spans="2:8" x14ac:dyDescent="0.25">
      <c r="B421" s="37"/>
      <c r="C421" s="38"/>
      <c r="D421" s="37"/>
      <c r="E421" t="str">
        <f>IF(C421="","",MONTH(C421))</f>
        <v/>
      </c>
      <c r="F421">
        <f>IF(AND(C421&lt;&gt;"",YEAR(C421)=CalYear,OR(B421=CountryCode,B421="MY")),1,0)</f>
        <v>0</v>
      </c>
      <c r="G421" t="str">
        <f>IF(F421=1,E421*100+COUNTIFS($E$5:E421,E421,$F$5:F421,1),"")</f>
        <v/>
      </c>
      <c r="H421" t="str">
        <f>IF(F421=1,C421,"")</f>
        <v/>
      </c>
    </row>
    <row r="422" spans="2:8" x14ac:dyDescent="0.25">
      <c r="B422" s="37"/>
      <c r="C422" s="38"/>
      <c r="D422" s="37"/>
      <c r="E422" t="str">
        <f>IF(C422="","",MONTH(C422))</f>
        <v/>
      </c>
      <c r="F422">
        <f>IF(AND(C422&lt;&gt;"",YEAR(C422)=CalYear,OR(B422=CountryCode,B422="MY")),1,0)</f>
        <v>0</v>
      </c>
      <c r="G422" t="str">
        <f>IF(F422=1,E422*100+COUNTIFS($E$5:E422,E422,$F$5:F422,1),"")</f>
        <v/>
      </c>
      <c r="H422" t="str">
        <f>IF(F422=1,C422,"")</f>
        <v/>
      </c>
    </row>
    <row r="423" spans="2:8" x14ac:dyDescent="0.25">
      <c r="B423" s="37"/>
      <c r="C423" s="38"/>
      <c r="D423" s="37"/>
      <c r="E423" t="str">
        <f>IF(C423="","",MONTH(C423))</f>
        <v/>
      </c>
      <c r="F423">
        <f>IF(AND(C423&lt;&gt;"",YEAR(C423)=CalYear,OR(B423=CountryCode,B423="MY")),1,0)</f>
        <v>0</v>
      </c>
      <c r="G423" t="str">
        <f>IF(F423=1,E423*100+COUNTIFS($E$5:E423,E423,$F$5:F423,1),"")</f>
        <v/>
      </c>
      <c r="H423" t="str">
        <f>IF(F423=1,C423,"")</f>
        <v/>
      </c>
    </row>
    <row r="424" spans="2:8" x14ac:dyDescent="0.25">
      <c r="B424" s="37"/>
      <c r="C424" s="38"/>
      <c r="D424" s="37"/>
      <c r="E424" t="str">
        <f>IF(C424="","",MONTH(C424))</f>
        <v/>
      </c>
      <c r="F424">
        <f>IF(AND(C424&lt;&gt;"",YEAR(C424)=CalYear,OR(B424=CountryCode,B424="MY")),1,0)</f>
        <v>0</v>
      </c>
      <c r="G424" t="str">
        <f>IF(F424=1,E424*100+COUNTIFS($E$5:E424,E424,$F$5:F424,1),"")</f>
        <v/>
      </c>
      <c r="H424" t="str">
        <f>IF(F424=1,C424,"")</f>
        <v/>
      </c>
    </row>
    <row r="425" spans="2:8" x14ac:dyDescent="0.25">
      <c r="B425" s="37"/>
      <c r="C425" s="38"/>
      <c r="D425" s="37"/>
      <c r="E425" t="str">
        <f>IF(C425="","",MONTH(C425))</f>
        <v/>
      </c>
      <c r="F425">
        <f>IF(AND(C425&lt;&gt;"",YEAR(C425)=CalYear,OR(B425=CountryCode,B425="MY")),1,0)</f>
        <v>0</v>
      </c>
      <c r="G425" t="str">
        <f>IF(F425=1,E425*100+COUNTIFS($E$5:E425,E425,$F$5:F425,1),"")</f>
        <v/>
      </c>
      <c r="H425" t="str">
        <f>IF(F425=1,C425,"")</f>
        <v/>
      </c>
    </row>
    <row r="426" spans="2:8" x14ac:dyDescent="0.25">
      <c r="B426" s="37"/>
      <c r="C426" s="38"/>
      <c r="D426" s="37"/>
      <c r="E426" t="str">
        <f>IF(C426="","",MONTH(C426))</f>
        <v/>
      </c>
      <c r="F426">
        <f>IF(AND(C426&lt;&gt;"",YEAR(C426)=CalYear,OR(B426=CountryCode,B426="MY")),1,0)</f>
        <v>0</v>
      </c>
      <c r="G426" t="str">
        <f>IF(F426=1,E426*100+COUNTIFS($E$5:E426,E426,$F$5:F426,1),"")</f>
        <v/>
      </c>
      <c r="H426" t="str">
        <f>IF(F426=1,C426,"")</f>
        <v/>
      </c>
    </row>
    <row r="427" spans="2:8" x14ac:dyDescent="0.25">
      <c r="B427" s="37"/>
      <c r="C427" s="38"/>
      <c r="D427" s="37"/>
      <c r="E427" t="str">
        <f>IF(C427="","",MONTH(C427))</f>
        <v/>
      </c>
      <c r="F427">
        <f>IF(AND(C427&lt;&gt;"",YEAR(C427)=CalYear,OR(B427=CountryCode,B427="MY")),1,0)</f>
        <v>0</v>
      </c>
      <c r="G427" t="str">
        <f>IF(F427=1,E427*100+COUNTIFS($E$5:E427,E427,$F$5:F427,1),"")</f>
        <v/>
      </c>
      <c r="H427" t="str">
        <f>IF(F427=1,C427,"")</f>
        <v/>
      </c>
    </row>
    <row r="428" spans="2:8" x14ac:dyDescent="0.25">
      <c r="B428" s="37"/>
      <c r="C428" s="38"/>
      <c r="D428" s="37"/>
      <c r="E428" t="str">
        <f>IF(C428="","",MONTH(C428))</f>
        <v/>
      </c>
      <c r="F428">
        <f>IF(AND(C428&lt;&gt;"",YEAR(C428)=CalYear,OR(B428=CountryCode,B428="MY")),1,0)</f>
        <v>0</v>
      </c>
      <c r="G428" t="str">
        <f>IF(F428=1,E428*100+COUNTIFS($E$5:E428,E428,$F$5:F428,1),"")</f>
        <v/>
      </c>
      <c r="H428" t="str">
        <f>IF(F428=1,C428,"")</f>
        <v/>
      </c>
    </row>
    <row r="429" spans="2:8" x14ac:dyDescent="0.25">
      <c r="B429" s="37"/>
      <c r="C429" s="38"/>
      <c r="D429" s="37"/>
      <c r="E429" t="str">
        <f>IF(C429="","",MONTH(C429))</f>
        <v/>
      </c>
      <c r="F429">
        <f>IF(AND(C429&lt;&gt;"",YEAR(C429)=CalYear,OR(B429=CountryCode,B429="MY")),1,0)</f>
        <v>0</v>
      </c>
      <c r="G429" t="str">
        <f>IF(F429=1,E429*100+COUNTIFS($E$5:E429,E429,$F$5:F429,1),"")</f>
        <v/>
      </c>
      <c r="H429" t="str">
        <f>IF(F429=1,C429,"")</f>
        <v/>
      </c>
    </row>
    <row r="430" spans="2:8" x14ac:dyDescent="0.25">
      <c r="B430" s="37"/>
      <c r="C430" s="38"/>
      <c r="D430" s="37"/>
      <c r="E430" t="str">
        <f>IF(C430="","",MONTH(C430))</f>
        <v/>
      </c>
      <c r="F430">
        <f>IF(AND(C430&lt;&gt;"",YEAR(C430)=CalYear,OR(B430=CountryCode,B430="MY")),1,0)</f>
        <v>0</v>
      </c>
      <c r="G430" t="str">
        <f>IF(F430=1,E430*100+COUNTIFS($E$5:E430,E430,$F$5:F430,1),"")</f>
        <v/>
      </c>
      <c r="H430" t="str">
        <f>IF(F430=1,C430,"")</f>
        <v/>
      </c>
    </row>
    <row r="431" spans="2:8" x14ac:dyDescent="0.25">
      <c r="B431" s="37"/>
      <c r="C431" s="38"/>
      <c r="D431" s="37"/>
      <c r="E431" t="str">
        <f>IF(C431="","",MONTH(C431))</f>
        <v/>
      </c>
      <c r="F431">
        <f>IF(AND(C431&lt;&gt;"",YEAR(C431)=CalYear,OR(B431=CountryCode,B431="MY")),1,0)</f>
        <v>0</v>
      </c>
      <c r="G431" t="str">
        <f>IF(F431=1,E431*100+COUNTIFS($E$5:E431,E431,$F$5:F431,1),"")</f>
        <v/>
      </c>
      <c r="H431" t="str">
        <f>IF(F431=1,C431,"")</f>
        <v/>
      </c>
    </row>
    <row r="432" spans="2:8" x14ac:dyDescent="0.25">
      <c r="B432" s="37"/>
      <c r="C432" s="38"/>
      <c r="D432" s="37"/>
      <c r="E432" t="str">
        <f>IF(C432="","",MONTH(C432))</f>
        <v/>
      </c>
      <c r="F432">
        <f>IF(AND(C432&lt;&gt;"",YEAR(C432)=CalYear,OR(B432=CountryCode,B432="MY")),1,0)</f>
        <v>0</v>
      </c>
      <c r="G432" t="str">
        <f>IF(F432=1,E432*100+COUNTIFS($E$5:E432,E432,$F$5:F432,1),"")</f>
        <v/>
      </c>
      <c r="H432" t="str">
        <f>IF(F432=1,C432,"")</f>
        <v/>
      </c>
    </row>
    <row r="433" spans="2:8" x14ac:dyDescent="0.25">
      <c r="B433" s="37"/>
      <c r="C433" s="38"/>
      <c r="D433" s="37"/>
      <c r="E433" t="str">
        <f>IF(C433="","",MONTH(C433))</f>
        <v/>
      </c>
      <c r="F433">
        <f>IF(AND(C433&lt;&gt;"",YEAR(C433)=CalYear,OR(B433=CountryCode,B433="MY")),1,0)</f>
        <v>0</v>
      </c>
      <c r="G433" t="str">
        <f>IF(F433=1,E433*100+COUNTIFS($E$5:E433,E433,$F$5:F433,1),"")</f>
        <v/>
      </c>
      <c r="H433" t="str">
        <f>IF(F433=1,C433,"")</f>
        <v/>
      </c>
    </row>
    <row r="434" spans="2:8" x14ac:dyDescent="0.25">
      <c r="B434" s="37"/>
      <c r="C434" s="38"/>
      <c r="D434" s="37"/>
      <c r="E434" t="str">
        <f>IF(C434="","",MONTH(C434))</f>
        <v/>
      </c>
      <c r="F434">
        <f>IF(AND(C434&lt;&gt;"",YEAR(C434)=CalYear,OR(B434=CountryCode,B434="MY")),1,0)</f>
        <v>0</v>
      </c>
      <c r="G434" t="str">
        <f>IF(F434=1,E434*100+COUNTIFS($E$5:E434,E434,$F$5:F434,1),"")</f>
        <v/>
      </c>
      <c r="H434" t="str">
        <f>IF(F434=1,C434,"")</f>
        <v/>
      </c>
    </row>
    <row r="435" spans="2:8" x14ac:dyDescent="0.25">
      <c r="B435" s="37"/>
      <c r="C435" s="38"/>
      <c r="D435" s="37"/>
      <c r="E435" t="str">
        <f>IF(C435="","",MONTH(C435))</f>
        <v/>
      </c>
      <c r="F435">
        <f>IF(AND(C435&lt;&gt;"",YEAR(C435)=CalYear,OR(B435=CountryCode,B435="MY")),1,0)</f>
        <v>0</v>
      </c>
      <c r="G435" t="str">
        <f>IF(F435=1,E435*100+COUNTIFS($E$5:E435,E435,$F$5:F435,1),"")</f>
        <v/>
      </c>
      <c r="H435" t="str">
        <f>IF(F435=1,C435,"")</f>
        <v/>
      </c>
    </row>
    <row r="436" spans="2:8" x14ac:dyDescent="0.25">
      <c r="B436" s="37"/>
      <c r="C436" s="38"/>
      <c r="D436" s="37"/>
      <c r="E436" t="str">
        <f>IF(C436="","",MONTH(C436))</f>
        <v/>
      </c>
      <c r="F436">
        <f>IF(AND(C436&lt;&gt;"",YEAR(C436)=CalYear,OR(B436=CountryCode,B436="MY")),1,0)</f>
        <v>0</v>
      </c>
      <c r="G436" t="str">
        <f>IF(F436=1,E436*100+COUNTIFS($E$5:E436,E436,$F$5:F436,1),"")</f>
        <v/>
      </c>
      <c r="H436" t="str">
        <f>IF(F436=1,C436,"")</f>
        <v/>
      </c>
    </row>
    <row r="437" spans="2:8" x14ac:dyDescent="0.25">
      <c r="B437" s="37"/>
      <c r="C437" s="38"/>
      <c r="D437" s="37"/>
      <c r="E437" t="str">
        <f>IF(C437="","",MONTH(C437))</f>
        <v/>
      </c>
      <c r="F437">
        <f>IF(AND(C437&lt;&gt;"",YEAR(C437)=CalYear,OR(B437=CountryCode,B437="MY")),1,0)</f>
        <v>0</v>
      </c>
      <c r="G437" t="str">
        <f>IF(F437=1,E437*100+COUNTIFS($E$5:E437,E437,$F$5:F437,1),"")</f>
        <v/>
      </c>
      <c r="H437" t="str">
        <f>IF(F437=1,C437,"")</f>
        <v/>
      </c>
    </row>
    <row r="438" spans="2:8" x14ac:dyDescent="0.25">
      <c r="B438" s="37"/>
      <c r="C438" s="38"/>
      <c r="D438" s="37"/>
      <c r="E438" t="str">
        <f>IF(C438="","",MONTH(C438))</f>
        <v/>
      </c>
      <c r="F438">
        <f>IF(AND(C438&lt;&gt;"",YEAR(C438)=CalYear,OR(B438=CountryCode,B438="MY")),1,0)</f>
        <v>0</v>
      </c>
      <c r="G438" t="str">
        <f>IF(F438=1,E438*100+COUNTIFS($E$5:E438,E438,$F$5:F438,1),"")</f>
        <v/>
      </c>
      <c r="H438" t="str">
        <f>IF(F438=1,C438,"")</f>
        <v/>
      </c>
    </row>
    <row r="439" spans="2:8" x14ac:dyDescent="0.25">
      <c r="B439" s="37"/>
      <c r="C439" s="38"/>
      <c r="D439" s="37"/>
      <c r="E439" t="str">
        <f>IF(C439="","",MONTH(C439))</f>
        <v/>
      </c>
      <c r="F439">
        <f>IF(AND(C439&lt;&gt;"",YEAR(C439)=CalYear,OR(B439=CountryCode,B439="MY")),1,0)</f>
        <v>0</v>
      </c>
      <c r="G439" t="str">
        <f>IF(F439=1,E439*100+COUNTIFS($E$5:E439,E439,$F$5:F439,1),"")</f>
        <v/>
      </c>
      <c r="H439" t="str">
        <f>IF(F439=1,C439,"")</f>
        <v/>
      </c>
    </row>
    <row r="440" spans="2:8" x14ac:dyDescent="0.25">
      <c r="B440" s="37"/>
      <c r="C440" s="38"/>
      <c r="D440" s="37"/>
      <c r="E440" t="str">
        <f>IF(C440="","",MONTH(C440))</f>
        <v/>
      </c>
      <c r="F440">
        <f>IF(AND(C440&lt;&gt;"",YEAR(C440)=CalYear,OR(B440=CountryCode,B440="MY")),1,0)</f>
        <v>0</v>
      </c>
      <c r="G440" t="str">
        <f>IF(F440=1,E440*100+COUNTIFS($E$5:E440,E440,$F$5:F440,1),"")</f>
        <v/>
      </c>
      <c r="H440" t="str">
        <f>IF(F440=1,C440,"")</f>
        <v/>
      </c>
    </row>
    <row r="441" spans="2:8" x14ac:dyDescent="0.25">
      <c r="B441" s="37"/>
      <c r="C441" s="38"/>
      <c r="D441" s="37"/>
      <c r="E441" t="str">
        <f>IF(C441="","",MONTH(C441))</f>
        <v/>
      </c>
      <c r="F441">
        <f>IF(AND(C441&lt;&gt;"",YEAR(C441)=CalYear,OR(B441=CountryCode,B441="MY")),1,0)</f>
        <v>0</v>
      </c>
      <c r="G441" t="str">
        <f>IF(F441=1,E441*100+COUNTIFS($E$5:E441,E441,$F$5:F441,1),"")</f>
        <v/>
      </c>
      <c r="H441" t="str">
        <f>IF(F441=1,C441,"")</f>
        <v/>
      </c>
    </row>
    <row r="442" spans="2:8" x14ac:dyDescent="0.25">
      <c r="B442" s="37"/>
      <c r="C442" s="38"/>
      <c r="D442" s="37"/>
      <c r="E442" t="str">
        <f>IF(C442="","",MONTH(C442))</f>
        <v/>
      </c>
      <c r="F442">
        <f>IF(AND(C442&lt;&gt;"",YEAR(C442)=CalYear,OR(B442=CountryCode,B442="MY")),1,0)</f>
        <v>0</v>
      </c>
      <c r="G442" t="str">
        <f>IF(F442=1,E442*100+COUNTIFS($E$5:E442,E442,$F$5:F442,1),"")</f>
        <v/>
      </c>
      <c r="H442" t="str">
        <f>IF(F442=1,C442,"")</f>
        <v/>
      </c>
    </row>
    <row r="443" spans="2:8" x14ac:dyDescent="0.25">
      <c r="B443" s="37"/>
      <c r="C443" s="38"/>
      <c r="D443" s="37"/>
      <c r="E443" t="str">
        <f>IF(C443="","",MONTH(C443))</f>
        <v/>
      </c>
      <c r="F443">
        <f>IF(AND(C443&lt;&gt;"",YEAR(C443)=CalYear,OR(B443=CountryCode,B443="MY")),1,0)</f>
        <v>0</v>
      </c>
      <c r="G443" t="str">
        <f>IF(F443=1,E443*100+COUNTIFS($E$5:E443,E443,$F$5:F443,1),"")</f>
        <v/>
      </c>
      <c r="H443" t="str">
        <f>IF(F443=1,C443,"")</f>
        <v/>
      </c>
    </row>
    <row r="444" spans="2:8" x14ac:dyDescent="0.25">
      <c r="B444" s="37"/>
      <c r="C444" s="38"/>
      <c r="D444" s="37"/>
      <c r="E444" t="str">
        <f>IF(C444="","",MONTH(C444))</f>
        <v/>
      </c>
      <c r="F444">
        <f>IF(AND(C444&lt;&gt;"",YEAR(C444)=CalYear,OR(B444=CountryCode,B444="MY")),1,0)</f>
        <v>0</v>
      </c>
      <c r="G444" t="str">
        <f>IF(F444=1,E444*100+COUNTIFS($E$5:E444,E444,$F$5:F444,1),"")</f>
        <v/>
      </c>
      <c r="H444" t="str">
        <f>IF(F444=1,C444,"")</f>
        <v/>
      </c>
    </row>
    <row r="445" spans="2:8" x14ac:dyDescent="0.25">
      <c r="B445" s="37"/>
      <c r="C445" s="38"/>
      <c r="D445" s="37"/>
      <c r="E445" t="str">
        <f>IF(C445="","",MONTH(C445))</f>
        <v/>
      </c>
      <c r="F445">
        <f>IF(AND(C445&lt;&gt;"",YEAR(C445)=CalYear,OR(B445=CountryCode,B445="MY")),1,0)</f>
        <v>0</v>
      </c>
      <c r="G445" t="str">
        <f>IF(F445=1,E445*100+COUNTIFS($E$5:E445,E445,$F$5:F445,1),"")</f>
        <v/>
      </c>
      <c r="H445" t="str">
        <f>IF(F445=1,C445,"")</f>
        <v/>
      </c>
    </row>
    <row r="446" spans="2:8" x14ac:dyDescent="0.25">
      <c r="B446" s="37"/>
      <c r="C446" s="38"/>
      <c r="D446" s="37"/>
      <c r="E446" t="str">
        <f>IF(C446="","",MONTH(C446))</f>
        <v/>
      </c>
      <c r="F446">
        <f>IF(AND(C446&lt;&gt;"",YEAR(C446)=CalYear,OR(B446=CountryCode,B446="MY")),1,0)</f>
        <v>0</v>
      </c>
      <c r="G446" t="str">
        <f>IF(F446=1,E446*100+COUNTIFS($E$5:E446,E446,$F$5:F446,1),"")</f>
        <v/>
      </c>
      <c r="H446" t="str">
        <f>IF(F446=1,C446,"")</f>
        <v/>
      </c>
    </row>
    <row r="447" spans="2:8" x14ac:dyDescent="0.25">
      <c r="B447" s="37"/>
      <c r="C447" s="38"/>
      <c r="D447" s="37"/>
      <c r="E447" t="str">
        <f>IF(C447="","",MONTH(C447))</f>
        <v/>
      </c>
      <c r="F447">
        <f>IF(AND(C447&lt;&gt;"",YEAR(C447)=CalYear,OR(B447=CountryCode,B447="MY")),1,0)</f>
        <v>0</v>
      </c>
      <c r="G447" t="str">
        <f>IF(F447=1,E447*100+COUNTIFS($E$5:E447,E447,$F$5:F447,1),"")</f>
        <v/>
      </c>
      <c r="H447" t="str">
        <f>IF(F447=1,C447,"")</f>
        <v/>
      </c>
    </row>
    <row r="448" spans="2:8" x14ac:dyDescent="0.25">
      <c r="B448" s="37"/>
      <c r="C448" s="38"/>
      <c r="D448" s="37"/>
      <c r="E448" t="str">
        <f>IF(C448="","",MONTH(C448))</f>
        <v/>
      </c>
      <c r="F448">
        <f>IF(AND(C448&lt;&gt;"",YEAR(C448)=CalYear,OR(B448=CountryCode,B448="MY")),1,0)</f>
        <v>0</v>
      </c>
      <c r="G448" t="str">
        <f>IF(F448=1,E448*100+COUNTIFS($E$5:E448,E448,$F$5:F448,1),"")</f>
        <v/>
      </c>
      <c r="H448" t="str">
        <f>IF(F448=1,C448,"")</f>
        <v/>
      </c>
    </row>
    <row r="449" spans="2:8" x14ac:dyDescent="0.25">
      <c r="B449" s="37"/>
      <c r="C449" s="38"/>
      <c r="D449" s="37"/>
      <c r="E449" t="str">
        <f>IF(C449="","",MONTH(C449))</f>
        <v/>
      </c>
      <c r="F449">
        <f>IF(AND(C449&lt;&gt;"",YEAR(C449)=CalYear,OR(B449=CountryCode,B449="MY")),1,0)</f>
        <v>0</v>
      </c>
      <c r="G449" t="str">
        <f>IF(F449=1,E449*100+COUNTIFS($E$5:E449,E449,$F$5:F449,1),"")</f>
        <v/>
      </c>
      <c r="H449" t="str">
        <f>IF(F449=1,C449,"")</f>
        <v/>
      </c>
    </row>
    <row r="450" spans="2:8" x14ac:dyDescent="0.25">
      <c r="B450" s="37"/>
      <c r="C450" s="38"/>
      <c r="D450" s="37"/>
      <c r="E450" t="str">
        <f>IF(C450="","",MONTH(C450))</f>
        <v/>
      </c>
      <c r="F450">
        <f>IF(AND(C450&lt;&gt;"",YEAR(C450)=CalYear,OR(B450=CountryCode,B450="MY")),1,0)</f>
        <v>0</v>
      </c>
      <c r="G450" t="str">
        <f>IF(F450=1,E450*100+COUNTIFS($E$5:E450,E450,$F$5:F450,1),"")</f>
        <v/>
      </c>
      <c r="H450" t="str">
        <f>IF(F450=1,C450,"")</f>
        <v/>
      </c>
    </row>
    <row r="451" spans="2:8" x14ac:dyDescent="0.25">
      <c r="B451" s="37"/>
      <c r="C451" s="38"/>
      <c r="D451" s="37"/>
      <c r="E451" t="str">
        <f>IF(C451="","",MONTH(C451))</f>
        <v/>
      </c>
      <c r="F451">
        <f>IF(AND(C451&lt;&gt;"",YEAR(C451)=CalYear,OR(B451=CountryCode,B451="MY")),1,0)</f>
        <v>0</v>
      </c>
      <c r="G451" t="str">
        <f>IF(F451=1,E451*100+COUNTIFS($E$5:E451,E451,$F$5:F451,1),"")</f>
        <v/>
      </c>
      <c r="H451" t="str">
        <f>IF(F451=1,C451,"")</f>
        <v/>
      </c>
    </row>
    <row r="452" spans="2:8" x14ac:dyDescent="0.25">
      <c r="B452" s="37"/>
      <c r="C452" s="38"/>
      <c r="D452" s="37"/>
      <c r="E452" t="str">
        <f>IF(C452="","",MONTH(C452))</f>
        <v/>
      </c>
      <c r="F452">
        <f>IF(AND(C452&lt;&gt;"",YEAR(C452)=CalYear,OR(B452=CountryCode,B452="MY")),1,0)</f>
        <v>0</v>
      </c>
      <c r="G452" t="str">
        <f>IF(F452=1,E452*100+COUNTIFS($E$5:E452,E452,$F$5:F452,1),"")</f>
        <v/>
      </c>
      <c r="H452" t="str">
        <f>IF(F452=1,C452,"")</f>
        <v/>
      </c>
    </row>
    <row r="453" spans="2:8" x14ac:dyDescent="0.25">
      <c r="B453" s="37"/>
      <c r="C453" s="38"/>
      <c r="D453" s="37"/>
      <c r="E453" t="str">
        <f>IF(C453="","",MONTH(C453))</f>
        <v/>
      </c>
      <c r="F453">
        <f>IF(AND(C453&lt;&gt;"",YEAR(C453)=CalYear,OR(B453=CountryCode,B453="MY")),1,0)</f>
        <v>0</v>
      </c>
      <c r="G453" t="str">
        <f>IF(F453=1,E453*100+COUNTIFS($E$5:E453,E453,$F$5:F453,1),"")</f>
        <v/>
      </c>
      <c r="H453" t="str">
        <f>IF(F453=1,C453,"")</f>
        <v/>
      </c>
    </row>
    <row r="454" spans="2:8" x14ac:dyDescent="0.25">
      <c r="B454" s="37"/>
      <c r="C454" s="38"/>
      <c r="D454" s="37"/>
      <c r="E454" t="str">
        <f>IF(C454="","",MONTH(C454))</f>
        <v/>
      </c>
      <c r="F454">
        <f>IF(AND(C454&lt;&gt;"",YEAR(C454)=CalYear,OR(B454=CountryCode,B454="MY")),1,0)</f>
        <v>0</v>
      </c>
      <c r="G454" t="str">
        <f>IF(F454=1,E454*100+COUNTIFS($E$5:E454,E454,$F$5:F454,1),"")</f>
        <v/>
      </c>
      <c r="H454" t="str">
        <f>IF(F454=1,C454,"")</f>
        <v/>
      </c>
    </row>
    <row r="455" spans="2:8" x14ac:dyDescent="0.25">
      <c r="B455" s="37"/>
      <c r="C455" s="38"/>
      <c r="D455" s="37"/>
      <c r="E455" t="str">
        <f>IF(C455="","",MONTH(C455))</f>
        <v/>
      </c>
      <c r="F455">
        <f>IF(AND(C455&lt;&gt;"",YEAR(C455)=CalYear,OR(B455=CountryCode,B455="MY")),1,0)</f>
        <v>0</v>
      </c>
      <c r="G455" t="str">
        <f>IF(F455=1,E455*100+COUNTIFS($E$5:E455,E455,$F$5:F455,1),"")</f>
        <v/>
      </c>
      <c r="H455" t="str">
        <f>IF(F455=1,C455,"")</f>
        <v/>
      </c>
    </row>
    <row r="456" spans="2:8" x14ac:dyDescent="0.25">
      <c r="B456" s="37"/>
      <c r="C456" s="38"/>
      <c r="D456" s="37"/>
      <c r="E456" t="str">
        <f>IF(C456="","",MONTH(C456))</f>
        <v/>
      </c>
      <c r="F456">
        <f>IF(AND(C456&lt;&gt;"",YEAR(C456)=CalYear,OR(B456=CountryCode,B456="MY")),1,0)</f>
        <v>0</v>
      </c>
      <c r="G456" t="str">
        <f>IF(F456=1,E456*100+COUNTIFS($E$5:E456,E456,$F$5:F456,1),"")</f>
        <v/>
      </c>
      <c r="H456" t="str">
        <f>IF(F456=1,C456,"")</f>
        <v/>
      </c>
    </row>
    <row r="457" spans="2:8" x14ac:dyDescent="0.25">
      <c r="B457" s="37"/>
      <c r="C457" s="38"/>
      <c r="D457" s="37"/>
      <c r="E457" t="str">
        <f>IF(C457="","",MONTH(C457))</f>
        <v/>
      </c>
      <c r="F457">
        <f>IF(AND(C457&lt;&gt;"",YEAR(C457)=CalYear,OR(B457=CountryCode,B457="MY")),1,0)</f>
        <v>0</v>
      </c>
      <c r="G457" t="str">
        <f>IF(F457=1,E457*100+COUNTIFS($E$5:E457,E457,$F$5:F457,1),"")</f>
        <v/>
      </c>
      <c r="H457" t="str">
        <f>IF(F457=1,C457,"")</f>
        <v/>
      </c>
    </row>
    <row r="458" spans="2:8" x14ac:dyDescent="0.25">
      <c r="B458" s="37"/>
      <c r="C458" s="38"/>
      <c r="D458" s="37"/>
      <c r="E458" t="str">
        <f>IF(C458="","",MONTH(C458))</f>
        <v/>
      </c>
      <c r="F458">
        <f>IF(AND(C458&lt;&gt;"",YEAR(C458)=CalYear,OR(B458=CountryCode,B458="MY")),1,0)</f>
        <v>0</v>
      </c>
      <c r="G458" t="str">
        <f>IF(F458=1,E458*100+COUNTIFS($E$5:E458,E458,$F$5:F458,1),"")</f>
        <v/>
      </c>
      <c r="H458" t="str">
        <f>IF(F458=1,C458,"")</f>
        <v/>
      </c>
    </row>
    <row r="459" spans="2:8" x14ac:dyDescent="0.25">
      <c r="B459" s="37"/>
      <c r="C459" s="38"/>
      <c r="D459" s="37"/>
      <c r="E459" t="str">
        <f>IF(C459="","",MONTH(C459))</f>
        <v/>
      </c>
      <c r="F459">
        <f>IF(AND(C459&lt;&gt;"",YEAR(C459)=CalYear,OR(B459=CountryCode,B459="MY")),1,0)</f>
        <v>0</v>
      </c>
      <c r="G459" t="str">
        <f>IF(F459=1,E459*100+COUNTIFS($E$5:E459,E459,$F$5:F459,1),"")</f>
        <v/>
      </c>
      <c r="H459" t="str">
        <f>IF(F459=1,C459,"")</f>
        <v/>
      </c>
    </row>
    <row r="460" spans="2:8" x14ac:dyDescent="0.25">
      <c r="B460" s="37"/>
      <c r="C460" s="38"/>
      <c r="D460" s="37"/>
      <c r="E460" t="str">
        <f>IF(C460="","",MONTH(C460))</f>
        <v/>
      </c>
      <c r="F460">
        <f>IF(AND(C460&lt;&gt;"",YEAR(C460)=CalYear,OR(B460=CountryCode,B460="MY")),1,0)</f>
        <v>0</v>
      </c>
      <c r="G460" t="str">
        <f>IF(F460=1,E460*100+COUNTIFS($E$5:E460,E460,$F$5:F460,1),"")</f>
        <v/>
      </c>
      <c r="H460" t="str">
        <f>IF(F460=1,C460,"")</f>
        <v/>
      </c>
    </row>
    <row r="461" spans="2:8" x14ac:dyDescent="0.25">
      <c r="B461" s="37"/>
      <c r="C461" s="38"/>
      <c r="D461" s="37"/>
      <c r="E461" t="str">
        <f>IF(C461="","",MONTH(C461))</f>
        <v/>
      </c>
      <c r="F461">
        <f>IF(AND(C461&lt;&gt;"",YEAR(C461)=CalYear,OR(B461=CountryCode,B461="MY")),1,0)</f>
        <v>0</v>
      </c>
      <c r="G461" t="str">
        <f>IF(F461=1,E461*100+COUNTIFS($E$5:E461,E461,$F$5:F461,1),"")</f>
        <v/>
      </c>
      <c r="H461" t="str">
        <f>IF(F461=1,C461,"")</f>
        <v/>
      </c>
    </row>
    <row r="462" spans="2:8" x14ac:dyDescent="0.25">
      <c r="B462" s="37"/>
      <c r="C462" s="38"/>
      <c r="D462" s="37"/>
      <c r="E462" t="str">
        <f>IF(C462="","",MONTH(C462))</f>
        <v/>
      </c>
      <c r="F462">
        <f>IF(AND(C462&lt;&gt;"",YEAR(C462)=CalYear,OR(B462=CountryCode,B462="MY")),1,0)</f>
        <v>0</v>
      </c>
      <c r="G462" t="str">
        <f>IF(F462=1,E462*100+COUNTIFS($E$5:E462,E462,$F$5:F462,1),"")</f>
        <v/>
      </c>
      <c r="H462" t="str">
        <f>IF(F462=1,C462,"")</f>
        <v/>
      </c>
    </row>
    <row r="463" spans="2:8" x14ac:dyDescent="0.25">
      <c r="B463" s="37"/>
      <c r="C463" s="38"/>
      <c r="D463" s="37"/>
      <c r="E463" t="str">
        <f>IF(C463="","",MONTH(C463))</f>
        <v/>
      </c>
      <c r="F463">
        <f>IF(AND(C463&lt;&gt;"",YEAR(C463)=CalYear,OR(B463=CountryCode,B463="MY")),1,0)</f>
        <v>0</v>
      </c>
      <c r="G463" t="str">
        <f>IF(F463=1,E463*100+COUNTIFS($E$5:E463,E463,$F$5:F463,1),"")</f>
        <v/>
      </c>
      <c r="H463" t="str">
        <f>IF(F463=1,C463,"")</f>
        <v/>
      </c>
    </row>
    <row r="464" spans="2:8" x14ac:dyDescent="0.25">
      <c r="B464" s="37"/>
      <c r="C464" s="38"/>
      <c r="D464" s="37"/>
      <c r="E464" t="str">
        <f>IF(C464="","",MONTH(C464))</f>
        <v/>
      </c>
      <c r="F464">
        <f>IF(AND(C464&lt;&gt;"",YEAR(C464)=CalYear,OR(B464=CountryCode,B464="MY")),1,0)</f>
        <v>0</v>
      </c>
      <c r="G464" t="str">
        <f>IF(F464=1,E464*100+COUNTIFS($E$5:E464,E464,$F$5:F464,1),"")</f>
        <v/>
      </c>
      <c r="H464" t="str">
        <f>IF(F464=1,C464,"")</f>
        <v/>
      </c>
    </row>
    <row r="465" spans="2:8" x14ac:dyDescent="0.25">
      <c r="B465" s="37"/>
      <c r="C465" s="38"/>
      <c r="D465" s="37"/>
      <c r="E465" t="str">
        <f>IF(C465="","",MONTH(C465))</f>
        <v/>
      </c>
      <c r="F465">
        <f>IF(AND(C465&lt;&gt;"",YEAR(C465)=CalYear,OR(B465=CountryCode,B465="MY")),1,0)</f>
        <v>0</v>
      </c>
      <c r="G465" t="str">
        <f>IF(F465=1,E465*100+COUNTIFS($E$5:E465,E465,$F$5:F465,1),"")</f>
        <v/>
      </c>
      <c r="H465" t="str">
        <f>IF(F465=1,C465,"")</f>
        <v/>
      </c>
    </row>
    <row r="466" spans="2:8" x14ac:dyDescent="0.25">
      <c r="B466" s="37"/>
      <c r="C466" s="38"/>
      <c r="D466" s="37"/>
      <c r="E466" t="str">
        <f>IF(C466="","",MONTH(C466))</f>
        <v/>
      </c>
      <c r="F466">
        <f>IF(AND(C466&lt;&gt;"",YEAR(C466)=CalYear,OR(B466=CountryCode,B466="MY")),1,0)</f>
        <v>0</v>
      </c>
      <c r="G466" t="str">
        <f>IF(F466=1,E466*100+COUNTIFS($E$5:E466,E466,$F$5:F466,1),"")</f>
        <v/>
      </c>
      <c r="H466" t="str">
        <f>IF(F466=1,C466,"")</f>
        <v/>
      </c>
    </row>
    <row r="467" spans="2:8" x14ac:dyDescent="0.25">
      <c r="B467" s="37"/>
      <c r="C467" s="38"/>
      <c r="D467" s="37"/>
      <c r="E467" t="str">
        <f>IF(C467="","",MONTH(C467))</f>
        <v/>
      </c>
      <c r="F467">
        <f>IF(AND(C467&lt;&gt;"",YEAR(C467)=CalYear,OR(B467=CountryCode,B467="MY")),1,0)</f>
        <v>0</v>
      </c>
      <c r="G467" t="str">
        <f>IF(F467=1,E467*100+COUNTIFS($E$5:E467,E467,$F$5:F467,1),"")</f>
        <v/>
      </c>
      <c r="H467" t="str">
        <f>IF(F467=1,C467,"")</f>
        <v/>
      </c>
    </row>
    <row r="468" spans="2:8" x14ac:dyDescent="0.25">
      <c r="B468" s="37"/>
      <c r="C468" s="38"/>
      <c r="D468" s="37"/>
      <c r="E468" t="str">
        <f>IF(C468="","",MONTH(C468))</f>
        <v/>
      </c>
      <c r="F468">
        <f>IF(AND(C468&lt;&gt;"",YEAR(C468)=CalYear,OR(B468=CountryCode,B468="MY")),1,0)</f>
        <v>0</v>
      </c>
      <c r="G468" t="str">
        <f>IF(F468=1,E468*100+COUNTIFS($E$5:E468,E468,$F$5:F468,1),"")</f>
        <v/>
      </c>
      <c r="H468" t="str">
        <f>IF(F468=1,C468,"")</f>
        <v/>
      </c>
    </row>
    <row r="469" spans="2:8" x14ac:dyDescent="0.25">
      <c r="B469" s="37"/>
      <c r="C469" s="38"/>
      <c r="D469" s="37"/>
      <c r="E469" t="str">
        <f>IF(C469="","",MONTH(C469))</f>
        <v/>
      </c>
      <c r="F469">
        <f>IF(AND(C469&lt;&gt;"",YEAR(C469)=CalYear,OR(B469=CountryCode,B469="MY")),1,0)</f>
        <v>0</v>
      </c>
      <c r="G469" t="str">
        <f>IF(F469=1,E469*100+COUNTIFS($E$5:E469,E469,$F$5:F469,1),"")</f>
        <v/>
      </c>
      <c r="H469" t="str">
        <f>IF(F469=1,C469,"")</f>
        <v/>
      </c>
    </row>
    <row r="470" spans="2:8" x14ac:dyDescent="0.25">
      <c r="B470" s="37"/>
      <c r="C470" s="38"/>
      <c r="D470" s="37"/>
      <c r="E470" t="str">
        <f>IF(C470="","",MONTH(C470))</f>
        <v/>
      </c>
      <c r="F470">
        <f>IF(AND(C470&lt;&gt;"",YEAR(C470)=CalYear,OR(B470=CountryCode,B470="MY")),1,0)</f>
        <v>0</v>
      </c>
      <c r="G470" t="str">
        <f>IF(F470=1,E470*100+COUNTIFS($E$5:E470,E470,$F$5:F470,1),"")</f>
        <v/>
      </c>
      <c r="H470" t="str">
        <f>IF(F470=1,C470,"")</f>
        <v/>
      </c>
    </row>
    <row r="471" spans="2:8" x14ac:dyDescent="0.25">
      <c r="B471" s="37"/>
      <c r="C471" s="38"/>
      <c r="D471" s="37"/>
      <c r="E471" t="str">
        <f>IF(C471="","",MONTH(C471))</f>
        <v/>
      </c>
      <c r="F471">
        <f>IF(AND(C471&lt;&gt;"",YEAR(C471)=CalYear,OR(B471=CountryCode,B471="MY")),1,0)</f>
        <v>0</v>
      </c>
      <c r="G471" t="str">
        <f>IF(F471=1,E471*100+COUNTIFS($E$5:E471,E471,$F$5:F471,1),"")</f>
        <v/>
      </c>
      <c r="H471" t="str">
        <f>IF(F471=1,C471,"")</f>
        <v/>
      </c>
    </row>
    <row r="472" spans="2:8" x14ac:dyDescent="0.25">
      <c r="B472" s="37"/>
      <c r="C472" s="38"/>
      <c r="D472" s="37"/>
      <c r="E472" t="str">
        <f>IF(C472="","",MONTH(C472))</f>
        <v/>
      </c>
      <c r="F472">
        <f>IF(AND(C472&lt;&gt;"",YEAR(C472)=CalYear,OR(B472=CountryCode,B472="MY")),1,0)</f>
        <v>0</v>
      </c>
      <c r="G472" t="str">
        <f>IF(F472=1,E472*100+COUNTIFS($E$5:E472,E472,$F$5:F472,1),"")</f>
        <v/>
      </c>
      <c r="H472" t="str">
        <f>IF(F472=1,C472,"")</f>
        <v/>
      </c>
    </row>
    <row r="473" spans="2:8" x14ac:dyDescent="0.25">
      <c r="B473" s="37"/>
      <c r="C473" s="38"/>
      <c r="D473" s="37"/>
      <c r="E473" t="str">
        <f>IF(C473="","",MONTH(C473))</f>
        <v/>
      </c>
      <c r="F473">
        <f>IF(AND(C473&lt;&gt;"",YEAR(C473)=CalYear,OR(B473=CountryCode,B473="MY")),1,0)</f>
        <v>0</v>
      </c>
      <c r="G473" t="str">
        <f>IF(F473=1,E473*100+COUNTIFS($E$5:E473,E473,$F$5:F473,1),"")</f>
        <v/>
      </c>
      <c r="H473" t="str">
        <f>IF(F473=1,C473,"")</f>
        <v/>
      </c>
    </row>
    <row r="474" spans="2:8" x14ac:dyDescent="0.25">
      <c r="B474" s="37"/>
      <c r="C474" s="38"/>
      <c r="D474" s="37"/>
      <c r="E474" t="str">
        <f>IF(C474="","",MONTH(C474))</f>
        <v/>
      </c>
      <c r="F474">
        <f>IF(AND(C474&lt;&gt;"",YEAR(C474)=CalYear,OR(B474=CountryCode,B474="MY")),1,0)</f>
        <v>0</v>
      </c>
      <c r="G474" t="str">
        <f>IF(F474=1,E474*100+COUNTIFS($E$5:E474,E474,$F$5:F474,1),"")</f>
        <v/>
      </c>
      <c r="H474" t="str">
        <f>IF(F474=1,C474,"")</f>
        <v/>
      </c>
    </row>
    <row r="475" spans="2:8" x14ac:dyDescent="0.25">
      <c r="B475" s="37"/>
      <c r="C475" s="38"/>
      <c r="D475" s="37"/>
      <c r="E475" t="str">
        <f>IF(C475="","",MONTH(C475))</f>
        <v/>
      </c>
      <c r="F475">
        <f>IF(AND(C475&lt;&gt;"",YEAR(C475)=CalYear,OR(B475=CountryCode,B475="MY")),1,0)</f>
        <v>0</v>
      </c>
      <c r="G475" t="str">
        <f>IF(F475=1,E475*100+COUNTIFS($E$5:E475,E475,$F$5:F475,1),"")</f>
        <v/>
      </c>
      <c r="H475" t="str">
        <f>IF(F475=1,C475,"")</f>
        <v/>
      </c>
    </row>
    <row r="476" spans="2:8" x14ac:dyDescent="0.25">
      <c r="B476" s="37"/>
      <c r="C476" s="38"/>
      <c r="D476" s="37"/>
      <c r="E476" t="str">
        <f>IF(C476="","",MONTH(C476))</f>
        <v/>
      </c>
      <c r="F476">
        <f>IF(AND(C476&lt;&gt;"",YEAR(C476)=CalYear,OR(B476=CountryCode,B476="MY")),1,0)</f>
        <v>0</v>
      </c>
      <c r="G476" t="str">
        <f>IF(F476=1,E476*100+COUNTIFS($E$5:E476,E476,$F$5:F476,1),"")</f>
        <v/>
      </c>
      <c r="H476" t="str">
        <f>IF(F476=1,C476,"")</f>
        <v/>
      </c>
    </row>
    <row r="477" spans="2:8" x14ac:dyDescent="0.25">
      <c r="B477" s="37"/>
      <c r="C477" s="38"/>
      <c r="D477" s="37"/>
      <c r="E477" t="str">
        <f>IF(C477="","",MONTH(C477))</f>
        <v/>
      </c>
      <c r="F477">
        <f>IF(AND(C477&lt;&gt;"",YEAR(C477)=CalYear,OR(B477=CountryCode,B477="MY")),1,0)</f>
        <v>0</v>
      </c>
      <c r="G477" t="str">
        <f>IF(F477=1,E477*100+COUNTIFS($E$5:E477,E477,$F$5:F477,1),"")</f>
        <v/>
      </c>
      <c r="H477" t="str">
        <f>IF(F477=1,C477,"")</f>
        <v/>
      </c>
    </row>
    <row r="478" spans="2:8" x14ac:dyDescent="0.25">
      <c r="B478" s="37"/>
      <c r="C478" s="38"/>
      <c r="D478" s="37"/>
      <c r="E478" t="str">
        <f>IF(C478="","",MONTH(C478))</f>
        <v/>
      </c>
      <c r="F478">
        <f>IF(AND(C478&lt;&gt;"",YEAR(C478)=CalYear,OR(B478=CountryCode,B478="MY")),1,0)</f>
        <v>0</v>
      </c>
      <c r="G478" t="str">
        <f>IF(F478=1,E478*100+COUNTIFS($E$5:E478,E478,$F$5:F478,1),"")</f>
        <v/>
      </c>
      <c r="H478" t="str">
        <f>IF(F478=1,C478,"")</f>
        <v/>
      </c>
    </row>
    <row r="479" spans="2:8" x14ac:dyDescent="0.25">
      <c r="B479" s="37"/>
      <c r="C479" s="38"/>
      <c r="D479" s="37"/>
      <c r="E479" t="str">
        <f>IF(C479="","",MONTH(C479))</f>
        <v/>
      </c>
      <c r="F479">
        <f>IF(AND(C479&lt;&gt;"",YEAR(C479)=CalYear,OR(B479=CountryCode,B479="MY")),1,0)</f>
        <v>0</v>
      </c>
      <c r="G479" t="str">
        <f>IF(F479=1,E479*100+COUNTIFS($E$5:E479,E479,$F$5:F479,1),"")</f>
        <v/>
      </c>
      <c r="H479" t="str">
        <f>IF(F479=1,C479,"")</f>
        <v/>
      </c>
    </row>
    <row r="480" spans="2:8" x14ac:dyDescent="0.25">
      <c r="B480" s="37"/>
      <c r="C480" s="38"/>
      <c r="D480" s="37"/>
      <c r="E480" t="str">
        <f>IF(C480="","",MONTH(C480))</f>
        <v/>
      </c>
      <c r="F480">
        <f>IF(AND(C480&lt;&gt;"",YEAR(C480)=CalYear,OR(B480=CountryCode,B480="MY")),1,0)</f>
        <v>0</v>
      </c>
      <c r="G480" t="str">
        <f>IF(F480=1,E480*100+COUNTIFS($E$5:E480,E480,$F$5:F480,1),"")</f>
        <v/>
      </c>
      <c r="H480" t="str">
        <f>IF(F480=1,C480,"")</f>
        <v/>
      </c>
    </row>
    <row r="481" spans="2:8" x14ac:dyDescent="0.25">
      <c r="B481" s="37"/>
      <c r="C481" s="38"/>
      <c r="D481" s="37"/>
      <c r="E481" t="str">
        <f>IF(C481="","",MONTH(C481))</f>
        <v/>
      </c>
      <c r="F481">
        <f>IF(AND(C481&lt;&gt;"",YEAR(C481)=CalYear,OR(B481=CountryCode,B481="MY")),1,0)</f>
        <v>0</v>
      </c>
      <c r="G481" t="str">
        <f>IF(F481=1,E481*100+COUNTIFS($E$5:E481,E481,$F$5:F481,1),"")</f>
        <v/>
      </c>
      <c r="H481" t="str">
        <f>IF(F481=1,C481,"")</f>
        <v/>
      </c>
    </row>
    <row r="482" spans="2:8" x14ac:dyDescent="0.25">
      <c r="B482" s="37"/>
      <c r="C482" s="38"/>
      <c r="D482" s="37"/>
      <c r="E482" t="str">
        <f>IF(C482="","",MONTH(C482))</f>
        <v/>
      </c>
      <c r="F482">
        <f>IF(AND(C482&lt;&gt;"",YEAR(C482)=CalYear,OR(B482=CountryCode,B482="MY")),1,0)</f>
        <v>0</v>
      </c>
      <c r="G482" t="str">
        <f>IF(F482=1,E482*100+COUNTIFS($E$5:E482,E482,$F$5:F482,1),"")</f>
        <v/>
      </c>
      <c r="H482" t="str">
        <f>IF(F482=1,C482,"")</f>
        <v/>
      </c>
    </row>
    <row r="483" spans="2:8" x14ac:dyDescent="0.25">
      <c r="B483" s="37"/>
      <c r="C483" s="38"/>
      <c r="D483" s="37"/>
      <c r="E483" t="str">
        <f>IF(C483="","",MONTH(C483))</f>
        <v/>
      </c>
      <c r="F483">
        <f>IF(AND(C483&lt;&gt;"",YEAR(C483)=CalYear,OR(B483=CountryCode,B483="MY")),1,0)</f>
        <v>0</v>
      </c>
      <c r="G483" t="str">
        <f>IF(F483=1,E483*100+COUNTIFS($E$5:E483,E483,$F$5:F483,1),"")</f>
        <v/>
      </c>
      <c r="H483" t="str">
        <f>IF(F483=1,C483,"")</f>
        <v/>
      </c>
    </row>
    <row r="484" spans="2:8" x14ac:dyDescent="0.25">
      <c r="B484" s="37"/>
      <c r="C484" s="38"/>
      <c r="D484" s="37"/>
      <c r="E484" t="str">
        <f>IF(C484="","",MONTH(C484))</f>
        <v/>
      </c>
      <c r="F484">
        <f>IF(AND(C484&lt;&gt;"",YEAR(C484)=CalYear,OR(B484=CountryCode,B484="MY")),1,0)</f>
        <v>0</v>
      </c>
      <c r="G484" t="str">
        <f>IF(F484=1,E484*100+COUNTIFS($E$5:E484,E484,$F$5:F484,1),"")</f>
        <v/>
      </c>
      <c r="H484" t="str">
        <f>IF(F484=1,C484,"")</f>
        <v/>
      </c>
    </row>
    <row r="485" spans="2:8" x14ac:dyDescent="0.25">
      <c r="B485" s="37"/>
      <c r="C485" s="38"/>
      <c r="D485" s="37"/>
      <c r="E485" t="str">
        <f>IF(C485="","",MONTH(C485))</f>
        <v/>
      </c>
      <c r="F485">
        <f>IF(AND(C485&lt;&gt;"",YEAR(C485)=CalYear,OR(B485=CountryCode,B485="MY")),1,0)</f>
        <v>0</v>
      </c>
      <c r="G485" t="str">
        <f>IF(F485=1,E485*100+COUNTIFS($E$5:E485,E485,$F$5:F485,1),"")</f>
        <v/>
      </c>
      <c r="H485" t="str">
        <f>IF(F485=1,C485,"")</f>
        <v/>
      </c>
    </row>
    <row r="486" spans="2:8" x14ac:dyDescent="0.25">
      <c r="B486" s="37"/>
      <c r="C486" s="38"/>
      <c r="D486" s="37"/>
      <c r="E486" t="str">
        <f>IF(C486="","",MONTH(C486))</f>
        <v/>
      </c>
      <c r="F486">
        <f>IF(AND(C486&lt;&gt;"",YEAR(C486)=CalYear,OR(B486=CountryCode,B486="MY")),1,0)</f>
        <v>0</v>
      </c>
      <c r="G486" t="str">
        <f>IF(F486=1,E486*100+COUNTIFS($E$5:E486,E486,$F$5:F486,1),"")</f>
        <v/>
      </c>
      <c r="H486" t="str">
        <f>IF(F486=1,C486,"")</f>
        <v/>
      </c>
    </row>
    <row r="487" spans="2:8" x14ac:dyDescent="0.25">
      <c r="B487" s="37"/>
      <c r="C487" s="38"/>
      <c r="D487" s="37"/>
      <c r="E487" t="str">
        <f>IF(C487="","",MONTH(C487))</f>
        <v/>
      </c>
      <c r="F487">
        <f>IF(AND(C487&lt;&gt;"",YEAR(C487)=CalYear,OR(B487=CountryCode,B487="MY")),1,0)</f>
        <v>0</v>
      </c>
      <c r="G487" t="str">
        <f>IF(F487=1,E487*100+COUNTIFS($E$5:E487,E487,$F$5:F487,1),"")</f>
        <v/>
      </c>
      <c r="H487" t="str">
        <f>IF(F487=1,C487,"")</f>
        <v/>
      </c>
    </row>
    <row r="488" spans="2:8" x14ac:dyDescent="0.25">
      <c r="B488" s="37"/>
      <c r="C488" s="38"/>
      <c r="D488" s="37"/>
      <c r="E488" t="str">
        <f>IF(C488="","",MONTH(C488))</f>
        <v/>
      </c>
      <c r="F488">
        <f>IF(AND(C488&lt;&gt;"",YEAR(C488)=CalYear,OR(B488=CountryCode,B488="MY")),1,0)</f>
        <v>0</v>
      </c>
      <c r="G488" t="str">
        <f>IF(F488=1,E488*100+COUNTIFS($E$5:E488,E488,$F$5:F488,1),"")</f>
        <v/>
      </c>
      <c r="H488" t="str">
        <f>IF(F488=1,C488,"")</f>
        <v/>
      </c>
    </row>
    <row r="489" spans="2:8" x14ac:dyDescent="0.25">
      <c r="B489" s="37"/>
      <c r="C489" s="38"/>
      <c r="D489" s="37"/>
      <c r="E489" t="str">
        <f>IF(C489="","",MONTH(C489))</f>
        <v/>
      </c>
      <c r="F489">
        <f>IF(AND(C489&lt;&gt;"",YEAR(C489)=CalYear,OR(B489=CountryCode,B489="MY")),1,0)</f>
        <v>0</v>
      </c>
      <c r="G489" t="str">
        <f>IF(F489=1,E489*100+COUNTIFS($E$5:E489,E489,$F$5:F489,1),"")</f>
        <v/>
      </c>
      <c r="H489" t="str">
        <f>IF(F489=1,C489,"")</f>
        <v/>
      </c>
    </row>
    <row r="490" spans="2:8" x14ac:dyDescent="0.25">
      <c r="B490" s="37"/>
      <c r="C490" s="38"/>
      <c r="D490" s="37"/>
      <c r="E490" t="str">
        <f>IF(C490="","",MONTH(C490))</f>
        <v/>
      </c>
      <c r="F490">
        <f>IF(AND(C490&lt;&gt;"",YEAR(C490)=CalYear,OR(B490=CountryCode,B490="MY")),1,0)</f>
        <v>0</v>
      </c>
      <c r="G490" t="str">
        <f>IF(F490=1,E490*100+COUNTIFS($E$5:E490,E490,$F$5:F490,1),"")</f>
        <v/>
      </c>
      <c r="H490" t="str">
        <f>IF(F490=1,C490,"")</f>
        <v/>
      </c>
    </row>
    <row r="491" spans="2:8" x14ac:dyDescent="0.25">
      <c r="B491" s="37"/>
      <c r="C491" s="38"/>
      <c r="D491" s="37"/>
      <c r="E491" t="str">
        <f>IF(C491="","",MONTH(C491))</f>
        <v/>
      </c>
      <c r="F491">
        <f>IF(AND(C491&lt;&gt;"",YEAR(C491)=CalYear,OR(B491=CountryCode,B491="MY")),1,0)</f>
        <v>0</v>
      </c>
      <c r="G491" t="str">
        <f>IF(F491=1,E491*100+COUNTIFS($E$5:E491,E491,$F$5:F491,1),"")</f>
        <v/>
      </c>
      <c r="H491" t="str">
        <f>IF(F491=1,C491,"")</f>
        <v/>
      </c>
    </row>
    <row r="492" spans="2:8" x14ac:dyDescent="0.25">
      <c r="B492" s="37"/>
      <c r="C492" s="38"/>
      <c r="D492" s="37"/>
      <c r="E492" t="str">
        <f>IF(C492="","",MONTH(C492))</f>
        <v/>
      </c>
      <c r="F492">
        <f>IF(AND(C492&lt;&gt;"",YEAR(C492)=CalYear,OR(B492=CountryCode,B492="MY")),1,0)</f>
        <v>0</v>
      </c>
      <c r="G492" t="str">
        <f>IF(F492=1,E492*100+COUNTIFS($E$5:E492,E492,$F$5:F492,1),"")</f>
        <v/>
      </c>
      <c r="H492" t="str">
        <f>IF(F492=1,C492,"")</f>
        <v/>
      </c>
    </row>
    <row r="493" spans="2:8" x14ac:dyDescent="0.25">
      <c r="B493" s="37"/>
      <c r="C493" s="38"/>
      <c r="D493" s="37"/>
      <c r="E493" t="str">
        <f>IF(C493="","",MONTH(C493))</f>
        <v/>
      </c>
      <c r="F493">
        <f>IF(AND(C493&lt;&gt;"",YEAR(C493)=CalYear,OR(B493=CountryCode,B493="MY")),1,0)</f>
        <v>0</v>
      </c>
      <c r="G493" t="str">
        <f>IF(F493=1,E493*100+COUNTIFS($E$5:E493,E493,$F$5:F493,1),"")</f>
        <v/>
      </c>
      <c r="H493" t="str">
        <f>IF(F493=1,C493,"")</f>
        <v/>
      </c>
    </row>
    <row r="494" spans="2:8" x14ac:dyDescent="0.25">
      <c r="B494" s="37"/>
      <c r="C494" s="38"/>
      <c r="D494" s="37"/>
      <c r="E494" t="str">
        <f>IF(C494="","",MONTH(C494))</f>
        <v/>
      </c>
      <c r="F494">
        <f>IF(AND(C494&lt;&gt;"",YEAR(C494)=CalYear,OR(B494=CountryCode,B494="MY")),1,0)</f>
        <v>0</v>
      </c>
      <c r="G494" t="str">
        <f>IF(F494=1,E494*100+COUNTIFS($E$5:E494,E494,$F$5:F494,1),"")</f>
        <v/>
      </c>
      <c r="H494" t="str">
        <f>IF(F494=1,C494,"")</f>
        <v/>
      </c>
    </row>
    <row r="495" spans="2:8" x14ac:dyDescent="0.25">
      <c r="B495" s="37"/>
      <c r="C495" s="38"/>
      <c r="D495" s="37"/>
      <c r="E495" t="str">
        <f>IF(C495="","",MONTH(C495))</f>
        <v/>
      </c>
      <c r="F495">
        <f>IF(AND(C495&lt;&gt;"",YEAR(C495)=CalYear,OR(B495=CountryCode,B495="MY")),1,0)</f>
        <v>0</v>
      </c>
      <c r="G495" t="str">
        <f>IF(F495=1,E495*100+COUNTIFS($E$5:E495,E495,$F$5:F495,1),"")</f>
        <v/>
      </c>
      <c r="H495" t="str">
        <f>IF(F495=1,C495,"")</f>
        <v/>
      </c>
    </row>
    <row r="496" spans="2:8" x14ac:dyDescent="0.25">
      <c r="B496" s="37"/>
      <c r="C496" s="38"/>
      <c r="D496" s="37"/>
      <c r="E496" t="str">
        <f>IF(C496="","",MONTH(C496))</f>
        <v/>
      </c>
      <c r="F496">
        <f>IF(AND(C496&lt;&gt;"",YEAR(C496)=CalYear,OR(B496=CountryCode,B496="MY")),1,0)</f>
        <v>0</v>
      </c>
      <c r="G496" t="str">
        <f>IF(F496=1,E496*100+COUNTIFS($E$5:E496,E496,$F$5:F496,1),"")</f>
        <v/>
      </c>
      <c r="H496" t="str">
        <f>IF(F496=1,C496,"")</f>
        <v/>
      </c>
    </row>
    <row r="497" spans="2:8" x14ac:dyDescent="0.25">
      <c r="B497" s="37"/>
      <c r="C497" s="38"/>
      <c r="D497" s="37"/>
      <c r="E497" t="str">
        <f>IF(C497="","",MONTH(C497))</f>
        <v/>
      </c>
      <c r="F497">
        <f>IF(AND(C497&lt;&gt;"",YEAR(C497)=CalYear,OR(B497=CountryCode,B497="MY")),1,0)</f>
        <v>0</v>
      </c>
      <c r="G497" t="str">
        <f>IF(F497=1,E497*100+COUNTIFS($E$5:E497,E497,$F$5:F497,1),"")</f>
        <v/>
      </c>
      <c r="H497" t="str">
        <f>IF(F497=1,C497,"")</f>
        <v/>
      </c>
    </row>
    <row r="498" spans="2:8" x14ac:dyDescent="0.25">
      <c r="B498" s="37"/>
      <c r="C498" s="38"/>
      <c r="D498" s="37"/>
      <c r="E498" t="str">
        <f>IF(C498="","",MONTH(C498))</f>
        <v/>
      </c>
      <c r="F498">
        <f>IF(AND(C498&lt;&gt;"",YEAR(C498)=CalYear,OR(B498=CountryCode,B498="MY")),1,0)</f>
        <v>0</v>
      </c>
      <c r="G498" t="str">
        <f>IF(F498=1,E498*100+COUNTIFS($E$5:E498,E498,$F$5:F498,1),"")</f>
        <v/>
      </c>
      <c r="H498" t="str">
        <f>IF(F498=1,C498,"")</f>
        <v/>
      </c>
    </row>
    <row r="499" spans="2:8" x14ac:dyDescent="0.25">
      <c r="B499" s="37"/>
      <c r="C499" s="38"/>
      <c r="D499" s="37"/>
      <c r="E499" t="str">
        <f>IF(C499="","",MONTH(C499))</f>
        <v/>
      </c>
      <c r="F499">
        <f>IF(AND(C499&lt;&gt;"",YEAR(C499)=CalYear,OR(B499=CountryCode,B499="MY")),1,0)</f>
        <v>0</v>
      </c>
      <c r="G499" t="str">
        <f>IF(F499=1,E499*100+COUNTIFS($E$5:E499,E499,$F$5:F499,1),"")</f>
        <v/>
      </c>
      <c r="H499" t="str">
        <f>IF(F499=1,C499,"")</f>
        <v/>
      </c>
    </row>
    <row r="500" spans="2:8" x14ac:dyDescent="0.25">
      <c r="B500" s="37"/>
      <c r="C500" s="38"/>
      <c r="D500" s="37"/>
      <c r="E500" t="str">
        <f>IF(C500="","",MONTH(C500))</f>
        <v/>
      </c>
      <c r="F500">
        <f>IF(AND(C500&lt;&gt;"",YEAR(C500)=CalYear,OR(B500=CountryCode,B500="MY")),1,0)</f>
        <v>0</v>
      </c>
      <c r="G500" t="str">
        <f>IF(F500=1,E500*100+COUNTIFS($E$5:E500,E500,$F$5:F500,1),"")</f>
        <v/>
      </c>
      <c r="H500" t="str">
        <f>IF(F500=1,C500,"")</f>
        <v/>
      </c>
    </row>
    <row r="501" spans="2:8" x14ac:dyDescent="0.25">
      <c r="B501" s="37"/>
      <c r="C501" s="38"/>
      <c r="D501" s="37"/>
      <c r="E501" t="str">
        <f>IF(C501="","",MONTH(C501))</f>
        <v/>
      </c>
      <c r="F501">
        <f>IF(AND(C501&lt;&gt;"",YEAR(C501)=CalYear,OR(B501=CountryCode,B501="MY")),1,0)</f>
        <v>0</v>
      </c>
      <c r="G501" t="str">
        <f>IF(F501=1,E501*100+COUNTIFS($E$5:E501,E501,$F$5:F501,1),"")</f>
        <v/>
      </c>
      <c r="H501" t="str">
        <f>IF(F501=1,C501,"")</f>
        <v/>
      </c>
    </row>
    <row r="502" spans="2:8" x14ac:dyDescent="0.25">
      <c r="B502" s="37"/>
      <c r="C502" s="38"/>
      <c r="D502" s="37"/>
      <c r="E502" t="str">
        <f>IF(C502="","",MONTH(C502))</f>
        <v/>
      </c>
      <c r="F502">
        <f>IF(AND(C502&lt;&gt;"",YEAR(C502)=CalYear,OR(B502=CountryCode,B502="MY")),1,0)</f>
        <v>0</v>
      </c>
      <c r="G502" t="str">
        <f>IF(F502=1,E502*100+COUNTIFS($E$5:E502,E502,$F$5:F502,1),"")</f>
        <v/>
      </c>
      <c r="H502" t="str">
        <f>IF(F502=1,C502,"")</f>
        <v/>
      </c>
    </row>
    <row r="503" spans="2:8" x14ac:dyDescent="0.25">
      <c r="B503" s="37"/>
      <c r="C503" s="38"/>
      <c r="D503" s="37"/>
      <c r="E503" t="str">
        <f>IF(C503="","",MONTH(C503))</f>
        <v/>
      </c>
      <c r="F503">
        <f>IF(AND(C503&lt;&gt;"",YEAR(C503)=CalYear,OR(B503=CountryCode,B503="MY")),1,0)</f>
        <v>0</v>
      </c>
      <c r="G503" t="str">
        <f>IF(F503=1,E503*100+COUNTIFS($E$5:E503,E503,$F$5:F503,1),"")</f>
        <v/>
      </c>
      <c r="H503" t="str">
        <f>IF(F503=1,C503,"")</f>
        <v/>
      </c>
    </row>
    <row r="504" spans="2:8" x14ac:dyDescent="0.25">
      <c r="B504" s="37"/>
      <c r="C504" s="38"/>
      <c r="D504" s="37"/>
      <c r="E504" t="str">
        <f>IF(C504="","",MONTH(C504))</f>
        <v/>
      </c>
      <c r="F504">
        <f>IF(AND(C504&lt;&gt;"",YEAR(C504)=CalYear,OR(B504=CountryCode,B504="MY")),1,0)</f>
        <v>0</v>
      </c>
      <c r="G504" t="str">
        <f>IF(F504=1,E504*100+COUNTIFS($E$5:E504,E504,$F$5:F504,1),"")</f>
        <v/>
      </c>
      <c r="H504" t="str">
        <f>IF(F504=1,C504,"")</f>
        <v/>
      </c>
    </row>
    <row r="505" spans="2:8" x14ac:dyDescent="0.25">
      <c r="B505" s="37"/>
      <c r="C505" s="38"/>
      <c r="D505" s="37"/>
      <c r="E505" t="str">
        <f>IF(C505="","",MONTH(C505))</f>
        <v/>
      </c>
      <c r="F505">
        <f>IF(AND(C505&lt;&gt;"",YEAR(C505)=CalYear,OR(B505=CountryCode,B505="MY")),1,0)</f>
        <v>0</v>
      </c>
      <c r="G505" t="str">
        <f>IF(F505=1,E505*100+COUNTIFS($E$5:E505,E505,$F$5:F505,1),"")</f>
        <v/>
      </c>
      <c r="H505" t="str">
        <f>IF(F505=1,C505,"")</f>
        <v/>
      </c>
    </row>
    <row r="506" spans="2:8" x14ac:dyDescent="0.25">
      <c r="B506" s="37"/>
      <c r="C506" s="38"/>
      <c r="D506" s="37"/>
      <c r="E506" t="str">
        <f>IF(C506="","",MONTH(C506))</f>
        <v/>
      </c>
      <c r="F506">
        <f>IF(AND(C506&lt;&gt;"",YEAR(C506)=CalYear,OR(B506=CountryCode,B506="MY")),1,0)</f>
        <v>0</v>
      </c>
      <c r="G506" t="str">
        <f>IF(F506=1,E506*100+COUNTIFS($E$5:E506,E506,$F$5:F506,1),"")</f>
        <v/>
      </c>
      <c r="H506" t="str">
        <f>IF(F506=1,C506,"")</f>
        <v/>
      </c>
    </row>
    <row r="507" spans="2:8" x14ac:dyDescent="0.25">
      <c r="B507" s="37"/>
      <c r="C507" s="38"/>
      <c r="D507" s="37"/>
      <c r="E507" t="str">
        <f>IF(C507="","",MONTH(C507))</f>
        <v/>
      </c>
      <c r="F507">
        <f>IF(AND(C507&lt;&gt;"",YEAR(C507)=CalYear,OR(B507=CountryCode,B507="MY")),1,0)</f>
        <v>0</v>
      </c>
      <c r="G507" t="str">
        <f>IF(F507=1,E507*100+COUNTIFS($E$5:E507,E507,$F$5:F507,1),"")</f>
        <v/>
      </c>
      <c r="H507" t="str">
        <f>IF(F507=1,C507,"")</f>
        <v/>
      </c>
    </row>
    <row r="508" spans="2:8" x14ac:dyDescent="0.25">
      <c r="B508" s="37"/>
      <c r="C508" s="38"/>
      <c r="D508" s="37"/>
      <c r="E508" t="str">
        <f>IF(C508="","",MONTH(C508))</f>
        <v/>
      </c>
      <c r="F508">
        <f>IF(AND(C508&lt;&gt;"",YEAR(C508)=CalYear,OR(B508=CountryCode,B508="MY")),1,0)</f>
        <v>0</v>
      </c>
      <c r="G508" t="str">
        <f>IF(F508=1,E508*100+COUNTIFS($E$5:E508,E508,$F$5:F508,1),"")</f>
        <v/>
      </c>
      <c r="H508" t="str">
        <f>IF(F508=1,C508,"")</f>
        <v/>
      </c>
    </row>
    <row r="509" spans="2:8" x14ac:dyDescent="0.25">
      <c r="B509" s="37"/>
      <c r="C509" s="38"/>
      <c r="D509" s="37"/>
      <c r="E509" t="str">
        <f>IF(C509="","",MONTH(C509))</f>
        <v/>
      </c>
      <c r="F509">
        <f>IF(AND(C509&lt;&gt;"",YEAR(C509)=CalYear,OR(B509=CountryCode,B509="MY")),1,0)</f>
        <v>0</v>
      </c>
      <c r="G509" t="str">
        <f>IF(F509=1,E509*100+COUNTIFS($E$5:E509,E509,$F$5:F509,1),"")</f>
        <v/>
      </c>
      <c r="H509" t="str">
        <f>IF(F509=1,C509,"")</f>
        <v/>
      </c>
    </row>
    <row r="510" spans="2:8" x14ac:dyDescent="0.25">
      <c r="B510" s="37"/>
      <c r="C510" s="38"/>
      <c r="D510" s="37"/>
      <c r="E510" t="str">
        <f>IF(C510="","",MONTH(C510))</f>
        <v/>
      </c>
      <c r="F510">
        <f>IF(AND(C510&lt;&gt;"",YEAR(C510)=CalYear,OR(B510=CountryCode,B510="MY")),1,0)</f>
        <v>0</v>
      </c>
      <c r="G510" t="str">
        <f>IF(F510=1,E510*100+COUNTIFS($E$5:E510,E510,$F$5:F510,1),"")</f>
        <v/>
      </c>
      <c r="H510" t="str">
        <f>IF(F510=1,C510,"")</f>
        <v/>
      </c>
    </row>
    <row r="511" spans="2:8" x14ac:dyDescent="0.25">
      <c r="B511" s="37"/>
      <c r="C511" s="38"/>
      <c r="D511" s="37"/>
      <c r="E511" t="str">
        <f>IF(C511="","",MONTH(C511))</f>
        <v/>
      </c>
      <c r="F511">
        <f>IF(AND(C511&lt;&gt;"",YEAR(C511)=CalYear,OR(B511=CountryCode,B511="MY")),1,0)</f>
        <v>0</v>
      </c>
      <c r="G511" t="str">
        <f>IF(F511=1,E511*100+COUNTIFS($E$5:E511,E511,$F$5:F511,1),"")</f>
        <v/>
      </c>
      <c r="H511" t="str">
        <f>IF(F511=1,C511,"")</f>
        <v/>
      </c>
    </row>
    <row r="512" spans="2:8" x14ac:dyDescent="0.25">
      <c r="B512" s="37"/>
      <c r="C512" s="38"/>
      <c r="D512" s="37"/>
      <c r="E512" t="str">
        <f>IF(C512="","",MONTH(C512))</f>
        <v/>
      </c>
      <c r="F512">
        <f>IF(AND(C512&lt;&gt;"",YEAR(C512)=CalYear,OR(B512=CountryCode,B512="MY")),1,0)</f>
        <v>0</v>
      </c>
      <c r="G512" t="str">
        <f>IF(F512=1,E512*100+COUNTIFS($E$5:E512,E512,$F$5:F512,1),"")</f>
        <v/>
      </c>
      <c r="H512" t="str">
        <f>IF(F512=1,C512,"")</f>
        <v/>
      </c>
    </row>
    <row r="513" spans="2:8" x14ac:dyDescent="0.25">
      <c r="B513" s="37"/>
      <c r="C513" s="38"/>
      <c r="D513" s="37"/>
      <c r="E513" t="str">
        <f>IF(C513="","",MONTH(C513))</f>
        <v/>
      </c>
      <c r="F513">
        <f>IF(AND(C513&lt;&gt;"",YEAR(C513)=CalYear,OR(B513=CountryCode,B513="MY")),1,0)</f>
        <v>0</v>
      </c>
      <c r="G513" t="str">
        <f>IF(F513=1,E513*100+COUNTIFS($E$5:E513,E513,$F$5:F513,1),"")</f>
        <v/>
      </c>
      <c r="H513" t="str">
        <f>IF(F513=1,C513,"")</f>
        <v/>
      </c>
    </row>
    <row r="514" spans="2:8" x14ac:dyDescent="0.25">
      <c r="B514" s="37"/>
      <c r="C514" s="38"/>
      <c r="D514" s="37"/>
      <c r="E514" t="str">
        <f>IF(C514="","",MONTH(C514))</f>
        <v/>
      </c>
      <c r="F514">
        <f>IF(AND(C514&lt;&gt;"",YEAR(C514)=CalYear,OR(B514=CountryCode,B514="MY")),1,0)</f>
        <v>0</v>
      </c>
      <c r="G514" t="str">
        <f>IF(F514=1,E514*100+COUNTIFS($E$5:E514,E514,$F$5:F514,1),"")</f>
        <v/>
      </c>
      <c r="H514" t="str">
        <f>IF(F514=1,C514,"")</f>
        <v/>
      </c>
    </row>
    <row r="515" spans="2:8" x14ac:dyDescent="0.25">
      <c r="B515" s="37"/>
      <c r="C515" s="38"/>
      <c r="D515" s="37"/>
      <c r="E515" t="str">
        <f>IF(C515="","",MONTH(C515))</f>
        <v/>
      </c>
      <c r="F515">
        <f>IF(AND(C515&lt;&gt;"",YEAR(C515)=CalYear,OR(B515=CountryCode,B515="MY")),1,0)</f>
        <v>0</v>
      </c>
      <c r="G515" t="str">
        <f>IF(F515=1,E515*100+COUNTIFS($E$5:E515,E515,$F$5:F515,1),"")</f>
        <v/>
      </c>
      <c r="H515" t="str">
        <f>IF(F515=1,C515,"")</f>
        <v/>
      </c>
    </row>
    <row r="516" spans="2:8" x14ac:dyDescent="0.25">
      <c r="B516" s="37"/>
      <c r="C516" s="38"/>
      <c r="D516" s="37"/>
      <c r="E516" t="str">
        <f>IF(C516="","",MONTH(C516))</f>
        <v/>
      </c>
      <c r="F516">
        <f>IF(AND(C516&lt;&gt;"",YEAR(C516)=CalYear,OR(B516=CountryCode,B516="MY")),1,0)</f>
        <v>0</v>
      </c>
      <c r="G516" t="str">
        <f>IF(F516=1,E516*100+COUNTIFS($E$5:E516,E516,$F$5:F516,1),"")</f>
        <v/>
      </c>
      <c r="H516" t="str">
        <f>IF(F516=1,C516,"")</f>
        <v/>
      </c>
    </row>
    <row r="517" spans="2:8" x14ac:dyDescent="0.25">
      <c r="B517" s="37"/>
      <c r="C517" s="38"/>
      <c r="D517" s="37"/>
      <c r="E517" t="str">
        <f>IF(C517="","",MONTH(C517))</f>
        <v/>
      </c>
      <c r="F517">
        <f>IF(AND(C517&lt;&gt;"",YEAR(C517)=CalYear,OR(B517=CountryCode,B517="MY")),1,0)</f>
        <v>0</v>
      </c>
      <c r="G517" t="str">
        <f>IF(F517=1,E517*100+COUNTIFS($E$5:E517,E517,$F$5:F517,1),"")</f>
        <v/>
      </c>
      <c r="H517" t="str">
        <f>IF(F517=1,C517,"")</f>
        <v/>
      </c>
    </row>
    <row r="518" spans="2:8" x14ac:dyDescent="0.25">
      <c r="B518" s="37"/>
      <c r="C518" s="38"/>
      <c r="D518" s="37"/>
      <c r="E518" t="str">
        <f>IF(C518="","",MONTH(C518))</f>
        <v/>
      </c>
      <c r="F518">
        <f>IF(AND(C518&lt;&gt;"",YEAR(C518)=CalYear,OR(B518=CountryCode,B518="MY")),1,0)</f>
        <v>0</v>
      </c>
      <c r="G518" t="str">
        <f>IF(F518=1,E518*100+COUNTIFS($E$5:E518,E518,$F$5:F518,1),"")</f>
        <v/>
      </c>
      <c r="H518" t="str">
        <f>IF(F518=1,C518,"")</f>
        <v/>
      </c>
    </row>
    <row r="519" spans="2:8" x14ac:dyDescent="0.25">
      <c r="B519" s="37"/>
      <c r="C519" s="38"/>
      <c r="D519" s="37"/>
      <c r="E519" t="str">
        <f>IF(C519="","",MONTH(C519))</f>
        <v/>
      </c>
      <c r="F519">
        <f>IF(AND(C519&lt;&gt;"",YEAR(C519)=CalYear,OR(B519=CountryCode,B519="MY")),1,0)</f>
        <v>0</v>
      </c>
      <c r="G519" t="str">
        <f>IF(F519=1,E519*100+COUNTIFS($E$5:E519,E519,$F$5:F519,1),"")</f>
        <v/>
      </c>
      <c r="H519" t="str">
        <f>IF(F519=1,C519,"")</f>
        <v/>
      </c>
    </row>
    <row r="520" spans="2:8" x14ac:dyDescent="0.25">
      <c r="B520" s="37"/>
      <c r="C520" s="38"/>
      <c r="D520" s="37"/>
      <c r="E520" t="str">
        <f>IF(C520="","",MONTH(C520))</f>
        <v/>
      </c>
      <c r="F520">
        <f>IF(AND(C520&lt;&gt;"",YEAR(C520)=CalYear,OR(B520=CountryCode,B520="MY")),1,0)</f>
        <v>0</v>
      </c>
      <c r="G520" t="str">
        <f>IF(F520=1,E520*100+COUNTIFS($E$5:E520,E520,$F$5:F520,1),"")</f>
        <v/>
      </c>
      <c r="H520" t="str">
        <f>IF(F520=1,C520,"")</f>
        <v/>
      </c>
    </row>
    <row r="521" spans="2:8" x14ac:dyDescent="0.25">
      <c r="B521" s="37"/>
      <c r="C521" s="38"/>
      <c r="D521" s="37"/>
      <c r="E521" t="str">
        <f>IF(C521="","",MONTH(C521))</f>
        <v/>
      </c>
      <c r="F521">
        <f>IF(AND(C521&lt;&gt;"",YEAR(C521)=CalYear,OR(B521=CountryCode,B521="MY")),1,0)</f>
        <v>0</v>
      </c>
      <c r="G521" t="str">
        <f>IF(F521=1,E521*100+COUNTIFS($E$5:E521,E521,$F$5:F521,1),"")</f>
        <v/>
      </c>
      <c r="H521" t="str">
        <f>IF(F521=1,C521,"")</f>
        <v/>
      </c>
    </row>
    <row r="522" spans="2:8" x14ac:dyDescent="0.25">
      <c r="B522" s="37"/>
      <c r="C522" s="38"/>
      <c r="D522" s="37"/>
      <c r="E522" t="str">
        <f>IF(C522="","",MONTH(C522))</f>
        <v/>
      </c>
      <c r="F522">
        <f>IF(AND(C522&lt;&gt;"",YEAR(C522)=CalYear,OR(B522=CountryCode,B522="MY")),1,0)</f>
        <v>0</v>
      </c>
      <c r="G522" t="str">
        <f>IF(F522=1,E522*100+COUNTIFS($E$5:E522,E522,$F$5:F522,1),"")</f>
        <v/>
      </c>
      <c r="H522" t="str">
        <f>IF(F522=1,C522,"")</f>
        <v/>
      </c>
    </row>
    <row r="523" spans="2:8" x14ac:dyDescent="0.25">
      <c r="B523" s="37"/>
      <c r="C523" s="38"/>
      <c r="D523" s="37"/>
      <c r="E523" t="str">
        <f>IF(C523="","",MONTH(C523))</f>
        <v/>
      </c>
      <c r="F523">
        <f>IF(AND(C523&lt;&gt;"",YEAR(C523)=CalYear,OR(B523=CountryCode,B523="MY")),1,0)</f>
        <v>0</v>
      </c>
      <c r="G523" t="str">
        <f>IF(F523=1,E523*100+COUNTIFS($E$5:E523,E523,$F$5:F523,1),"")</f>
        <v/>
      </c>
      <c r="H523" t="str">
        <f>IF(F523=1,C523,"")</f>
        <v/>
      </c>
    </row>
    <row r="524" spans="2:8" x14ac:dyDescent="0.25">
      <c r="B524" s="37"/>
      <c r="C524" s="38"/>
      <c r="D524" s="37"/>
      <c r="E524" t="str">
        <f>IF(C524="","",MONTH(C524))</f>
        <v/>
      </c>
      <c r="F524">
        <f>IF(AND(C524&lt;&gt;"",YEAR(C524)=CalYear,OR(B524=CountryCode,B524="MY")),1,0)</f>
        <v>0</v>
      </c>
      <c r="G524" t="str">
        <f>IF(F524=1,E524*100+COUNTIFS($E$5:E524,E524,$F$5:F524,1),"")</f>
        <v/>
      </c>
      <c r="H524" t="str">
        <f>IF(F524=1,C524,"")</f>
        <v/>
      </c>
    </row>
    <row r="525" spans="2:8" x14ac:dyDescent="0.25">
      <c r="B525" s="37"/>
      <c r="C525" s="38"/>
      <c r="D525" s="37"/>
      <c r="E525" t="str">
        <f>IF(C525="","",MONTH(C525))</f>
        <v/>
      </c>
      <c r="F525">
        <f>IF(AND(C525&lt;&gt;"",YEAR(C525)=CalYear,OR(B525=CountryCode,B525="MY")),1,0)</f>
        <v>0</v>
      </c>
      <c r="G525" t="str">
        <f>IF(F525=1,E525*100+COUNTIFS($E$5:E525,E525,$F$5:F525,1),"")</f>
        <v/>
      </c>
      <c r="H525" t="str">
        <f>IF(F525=1,C525,"")</f>
        <v/>
      </c>
    </row>
    <row r="526" spans="2:8" x14ac:dyDescent="0.25">
      <c r="B526" s="37"/>
      <c r="C526" s="38"/>
      <c r="D526" s="37"/>
      <c r="E526" t="str">
        <f>IF(C526="","",MONTH(C526))</f>
        <v/>
      </c>
      <c r="F526">
        <f>IF(AND(C526&lt;&gt;"",YEAR(C526)=CalYear,OR(B526=CountryCode,B526="MY")),1,0)</f>
        <v>0</v>
      </c>
      <c r="G526" t="str">
        <f>IF(F526=1,E526*100+COUNTIFS($E$5:E526,E526,$F$5:F526,1),"")</f>
        <v/>
      </c>
      <c r="H526" t="str">
        <f>IF(F526=1,C526,"")</f>
        <v/>
      </c>
    </row>
    <row r="527" spans="2:8" x14ac:dyDescent="0.25">
      <c r="B527" s="37"/>
      <c r="C527" s="38"/>
      <c r="D527" s="37"/>
      <c r="E527" t="str">
        <f>IF(C527="","",MONTH(C527))</f>
        <v/>
      </c>
      <c r="F527">
        <f>IF(AND(C527&lt;&gt;"",YEAR(C527)=CalYear,OR(B527=CountryCode,B527="MY")),1,0)</f>
        <v>0</v>
      </c>
      <c r="G527" t="str">
        <f>IF(F527=1,E527*100+COUNTIFS($E$5:E527,E527,$F$5:F527,1),"")</f>
        <v/>
      </c>
      <c r="H527" t="str">
        <f>IF(F527=1,C527,"")</f>
        <v/>
      </c>
    </row>
    <row r="528" spans="2:8" x14ac:dyDescent="0.25">
      <c r="B528" s="37"/>
      <c r="C528" s="38"/>
      <c r="D528" s="37"/>
      <c r="E528" t="str">
        <f>IF(C528="","",MONTH(C528))</f>
        <v/>
      </c>
      <c r="F528">
        <f>IF(AND(C528&lt;&gt;"",YEAR(C528)=CalYear,OR(B528=CountryCode,B528="MY")),1,0)</f>
        <v>0</v>
      </c>
      <c r="G528" t="str">
        <f>IF(F528=1,E528*100+COUNTIFS($E$5:E528,E528,$F$5:F528,1),"")</f>
        <v/>
      </c>
      <c r="H528" t="str">
        <f>IF(F528=1,C528,"")</f>
        <v/>
      </c>
    </row>
    <row r="529" spans="2:8" x14ac:dyDescent="0.25">
      <c r="B529" s="37"/>
      <c r="C529" s="38"/>
      <c r="D529" s="37"/>
      <c r="E529" t="str">
        <f>IF(C529="","",MONTH(C529))</f>
        <v/>
      </c>
      <c r="F529">
        <f>IF(AND(C529&lt;&gt;"",YEAR(C529)=CalYear,OR(B529=CountryCode,B529="MY")),1,0)</f>
        <v>0</v>
      </c>
      <c r="G529" t="str">
        <f>IF(F529=1,E529*100+COUNTIFS($E$5:E529,E529,$F$5:F529,1),"")</f>
        <v/>
      </c>
      <c r="H529" t="str">
        <f>IF(F529=1,C529,"")</f>
        <v/>
      </c>
    </row>
    <row r="530" spans="2:8" x14ac:dyDescent="0.25">
      <c r="B530" s="37"/>
      <c r="C530" s="38"/>
      <c r="D530" s="37"/>
      <c r="E530" t="str">
        <f>IF(C530="","",MONTH(C530))</f>
        <v/>
      </c>
      <c r="F530">
        <f>IF(AND(C530&lt;&gt;"",YEAR(C530)=CalYear,OR(B530=CountryCode,B530="MY")),1,0)</f>
        <v>0</v>
      </c>
      <c r="G530" t="str">
        <f>IF(F530=1,E530*100+COUNTIFS($E$5:E530,E530,$F$5:F530,1),"")</f>
        <v/>
      </c>
      <c r="H530" t="str">
        <f>IF(F530=1,C530,"")</f>
        <v/>
      </c>
    </row>
    <row r="531" spans="2:8" x14ac:dyDescent="0.25">
      <c r="B531" s="37"/>
      <c r="C531" s="38"/>
      <c r="D531" s="37"/>
      <c r="E531" t="str">
        <f>IF(C531="","",MONTH(C531))</f>
        <v/>
      </c>
      <c r="F531">
        <f>IF(AND(C531&lt;&gt;"",YEAR(C531)=CalYear,OR(B531=CountryCode,B531="MY")),1,0)</f>
        <v>0</v>
      </c>
      <c r="G531" t="str">
        <f>IF(F531=1,E531*100+COUNTIFS($E$5:E531,E531,$F$5:F531,1),"")</f>
        <v/>
      </c>
      <c r="H531" t="str">
        <f>IF(F531=1,C531,"")</f>
        <v/>
      </c>
    </row>
    <row r="532" spans="2:8" x14ac:dyDescent="0.25">
      <c r="B532" s="37"/>
      <c r="C532" s="38"/>
      <c r="D532" s="37"/>
      <c r="E532" t="str">
        <f>IF(C532="","",MONTH(C532))</f>
        <v/>
      </c>
      <c r="F532">
        <f>IF(AND(C532&lt;&gt;"",YEAR(C532)=CalYear,OR(B532=CountryCode,B532="MY")),1,0)</f>
        <v>0</v>
      </c>
      <c r="G532" t="str">
        <f>IF(F532=1,E532*100+COUNTIFS($E$5:E532,E532,$F$5:F532,1),"")</f>
        <v/>
      </c>
      <c r="H532" t="str">
        <f>IF(F532=1,C532,"")</f>
        <v/>
      </c>
    </row>
    <row r="533" spans="2:8" x14ac:dyDescent="0.25">
      <c r="B533" s="37"/>
      <c r="C533" s="38"/>
      <c r="D533" s="37"/>
      <c r="E533" t="str">
        <f>IF(C533="","",MONTH(C533))</f>
        <v/>
      </c>
      <c r="F533">
        <f>IF(AND(C533&lt;&gt;"",YEAR(C533)=CalYear,OR(B533=CountryCode,B533="MY")),1,0)</f>
        <v>0</v>
      </c>
      <c r="G533" t="str">
        <f>IF(F533=1,E533*100+COUNTIFS($E$5:E533,E533,$F$5:F533,1),"")</f>
        <v/>
      </c>
      <c r="H533" t="str">
        <f>IF(F533=1,C533,"")</f>
        <v/>
      </c>
    </row>
    <row r="534" spans="2:8" x14ac:dyDescent="0.25">
      <c r="B534" s="37"/>
      <c r="C534" s="38"/>
      <c r="D534" s="37"/>
      <c r="E534" t="str">
        <f>IF(C534="","",MONTH(C534))</f>
        <v/>
      </c>
      <c r="F534">
        <f>IF(AND(C534&lt;&gt;"",YEAR(C534)=CalYear,OR(B534=CountryCode,B534="MY")),1,0)</f>
        <v>0</v>
      </c>
      <c r="G534" t="str">
        <f>IF(F534=1,E534*100+COUNTIFS($E$5:E534,E534,$F$5:F534,1),"")</f>
        <v/>
      </c>
      <c r="H534" t="str">
        <f>IF(F534=1,C534,"")</f>
        <v/>
      </c>
    </row>
    <row r="535" spans="2:8" x14ac:dyDescent="0.25">
      <c r="B535" s="37"/>
      <c r="C535" s="38"/>
      <c r="D535" s="37"/>
      <c r="E535" t="str">
        <f>IF(C535="","",MONTH(C535))</f>
        <v/>
      </c>
      <c r="F535">
        <f>IF(AND(C535&lt;&gt;"",YEAR(C535)=CalYear,OR(B535=CountryCode,B535="MY")),1,0)</f>
        <v>0</v>
      </c>
      <c r="G535" t="str">
        <f>IF(F535=1,E535*100+COUNTIFS($E$5:E535,E535,$F$5:F535,1),"")</f>
        <v/>
      </c>
      <c r="H535" t="str">
        <f>IF(F535=1,C535,"")</f>
        <v/>
      </c>
    </row>
    <row r="536" spans="2:8" x14ac:dyDescent="0.25">
      <c r="B536" s="37"/>
      <c r="C536" s="38"/>
      <c r="D536" s="37"/>
      <c r="E536" t="str">
        <f>IF(C536="","",MONTH(C536))</f>
        <v/>
      </c>
      <c r="F536">
        <f>IF(AND(C536&lt;&gt;"",YEAR(C536)=CalYear,OR(B536=CountryCode,B536="MY")),1,0)</f>
        <v>0</v>
      </c>
      <c r="G536" t="str">
        <f>IF(F536=1,E536*100+COUNTIFS($E$5:E536,E536,$F$5:F536,1),"")</f>
        <v/>
      </c>
      <c r="H536" t="str">
        <f>IF(F536=1,C536,"")</f>
        <v/>
      </c>
    </row>
    <row r="537" spans="2:8" x14ac:dyDescent="0.25">
      <c r="B537" s="37"/>
      <c r="C537" s="38"/>
      <c r="D537" s="37"/>
      <c r="E537" t="str">
        <f>IF(C537="","",MONTH(C537))</f>
        <v/>
      </c>
      <c r="F537">
        <f>IF(AND(C537&lt;&gt;"",YEAR(C537)=CalYear,OR(B537=CountryCode,B537="MY")),1,0)</f>
        <v>0</v>
      </c>
      <c r="G537" t="str">
        <f>IF(F537=1,E537*100+COUNTIFS($E$5:E537,E537,$F$5:F537,1),"")</f>
        <v/>
      </c>
      <c r="H537" t="str">
        <f>IF(F537=1,C537,"")</f>
        <v/>
      </c>
    </row>
    <row r="538" spans="2:8" x14ac:dyDescent="0.25">
      <c r="B538" s="37"/>
      <c r="C538" s="38"/>
      <c r="D538" s="37"/>
      <c r="E538" t="str">
        <f>IF(C538="","",MONTH(C538))</f>
        <v/>
      </c>
      <c r="F538">
        <f>IF(AND(C538&lt;&gt;"",YEAR(C538)=CalYear,OR(B538=CountryCode,B538="MY")),1,0)</f>
        <v>0</v>
      </c>
      <c r="G538" t="str">
        <f>IF(F538=1,E538*100+COUNTIFS($E$5:E538,E538,$F$5:F538,1),"")</f>
        <v/>
      </c>
      <c r="H538" t="str">
        <f>IF(F538=1,C538,"")</f>
        <v/>
      </c>
    </row>
    <row r="539" spans="2:8" x14ac:dyDescent="0.25">
      <c r="B539" s="37"/>
      <c r="C539" s="38"/>
      <c r="D539" s="37"/>
      <c r="E539" t="str">
        <f>IF(C539="","",MONTH(C539))</f>
        <v/>
      </c>
      <c r="F539">
        <f>IF(AND(C539&lt;&gt;"",YEAR(C539)=CalYear,OR(B539=CountryCode,B539="MY")),1,0)</f>
        <v>0</v>
      </c>
      <c r="G539" t="str">
        <f>IF(F539=1,E539*100+COUNTIFS($E$5:E539,E539,$F$5:F539,1),"")</f>
        <v/>
      </c>
      <c r="H539" t="str">
        <f>IF(F539=1,C539,"")</f>
        <v/>
      </c>
    </row>
    <row r="540" spans="2:8" x14ac:dyDescent="0.25">
      <c r="B540" s="37"/>
      <c r="C540" s="38"/>
      <c r="D540" s="37"/>
      <c r="E540" t="str">
        <f>IF(C540="","",MONTH(C540))</f>
        <v/>
      </c>
      <c r="F540">
        <f>IF(AND(C540&lt;&gt;"",YEAR(C540)=CalYear,OR(B540=CountryCode,B540="MY")),1,0)</f>
        <v>0</v>
      </c>
      <c r="G540" t="str">
        <f>IF(F540=1,E540*100+COUNTIFS($E$5:E540,E540,$F$5:F540,1),"")</f>
        <v/>
      </c>
      <c r="H540" t="str">
        <f>IF(F540=1,C540,"")</f>
        <v/>
      </c>
    </row>
    <row r="541" spans="2:8" x14ac:dyDescent="0.25">
      <c r="B541" s="37"/>
      <c r="C541" s="38"/>
      <c r="D541" s="37"/>
      <c r="E541" t="str">
        <f>IF(C541="","",MONTH(C541))</f>
        <v/>
      </c>
      <c r="F541">
        <f>IF(AND(C541&lt;&gt;"",YEAR(C541)=CalYear,OR(B541=CountryCode,B541="MY")),1,0)</f>
        <v>0</v>
      </c>
      <c r="G541" t="str">
        <f>IF(F541=1,E541*100+COUNTIFS($E$5:E541,E541,$F$5:F541,1),"")</f>
        <v/>
      </c>
      <c r="H541" t="str">
        <f>IF(F541=1,C541,"")</f>
        <v/>
      </c>
    </row>
    <row r="542" spans="2:8" x14ac:dyDescent="0.25">
      <c r="B542" s="37"/>
      <c r="C542" s="38"/>
      <c r="D542" s="37"/>
      <c r="E542" t="str">
        <f>IF(C542="","",MONTH(C542))</f>
        <v/>
      </c>
      <c r="F542">
        <f>IF(AND(C542&lt;&gt;"",YEAR(C542)=CalYear,OR(B542=CountryCode,B542="MY")),1,0)</f>
        <v>0</v>
      </c>
      <c r="G542" t="str">
        <f>IF(F542=1,E542*100+COUNTIFS($E$5:E542,E542,$F$5:F542,1),"")</f>
        <v/>
      </c>
      <c r="H542" t="str">
        <f>IF(F542=1,C542,"")</f>
        <v/>
      </c>
    </row>
    <row r="543" spans="2:8" x14ac:dyDescent="0.25">
      <c r="B543" s="37"/>
      <c r="C543" s="38"/>
      <c r="D543" s="37"/>
      <c r="E543" t="str">
        <f>IF(C543="","",MONTH(C543))</f>
        <v/>
      </c>
      <c r="F543">
        <f>IF(AND(C543&lt;&gt;"",YEAR(C543)=CalYear,OR(B543=CountryCode,B543="MY")),1,0)</f>
        <v>0</v>
      </c>
      <c r="G543" t="str">
        <f>IF(F543=1,E543*100+COUNTIFS($E$5:E543,E543,$F$5:F543,1),"")</f>
        <v/>
      </c>
      <c r="H543" t="str">
        <f>IF(F543=1,C543,"")</f>
        <v/>
      </c>
    </row>
    <row r="544" spans="2:8" x14ac:dyDescent="0.25">
      <c r="B544" s="37"/>
      <c r="C544" s="38"/>
      <c r="D544" s="37"/>
      <c r="E544" t="str">
        <f>IF(C544="","",MONTH(C544))</f>
        <v/>
      </c>
      <c r="F544">
        <f>IF(AND(C544&lt;&gt;"",YEAR(C544)=CalYear,OR(B544=CountryCode,B544="MY")),1,0)</f>
        <v>0</v>
      </c>
      <c r="G544" t="str">
        <f>IF(F544=1,E544*100+COUNTIFS($E$5:E544,E544,$F$5:F544,1),"")</f>
        <v/>
      </c>
      <c r="H544" t="str">
        <f>IF(F544=1,C544,"")</f>
        <v/>
      </c>
    </row>
    <row r="545" spans="2:8" x14ac:dyDescent="0.25">
      <c r="B545" s="37"/>
      <c r="C545" s="38"/>
      <c r="D545" s="37"/>
      <c r="E545" t="str">
        <f>IF(C545="","",MONTH(C545))</f>
        <v/>
      </c>
      <c r="F545">
        <f>IF(AND(C545&lt;&gt;"",YEAR(C545)=CalYear,OR(B545=CountryCode,B545="MY")),1,0)</f>
        <v>0</v>
      </c>
      <c r="G545" t="str">
        <f>IF(F545=1,E545*100+COUNTIFS($E$5:E545,E545,$F$5:F545,1),"")</f>
        <v/>
      </c>
      <c r="H545" t="str">
        <f>IF(F545=1,C545,"")</f>
        <v/>
      </c>
    </row>
    <row r="546" spans="2:8" x14ac:dyDescent="0.25">
      <c r="B546" s="37"/>
      <c r="C546" s="38"/>
      <c r="D546" s="37"/>
      <c r="E546" t="str">
        <f>IF(C546="","",MONTH(C546))</f>
        <v/>
      </c>
      <c r="F546">
        <f>IF(AND(C546&lt;&gt;"",YEAR(C546)=CalYear,OR(B546=CountryCode,B546="MY")),1,0)</f>
        <v>0</v>
      </c>
      <c r="G546" t="str">
        <f>IF(F546=1,E546*100+COUNTIFS($E$5:E546,E546,$F$5:F546,1),"")</f>
        <v/>
      </c>
      <c r="H546" t="str">
        <f>IF(F546=1,C546,"")</f>
        <v/>
      </c>
    </row>
    <row r="547" spans="2:8" x14ac:dyDescent="0.25">
      <c r="B547" s="37"/>
      <c r="C547" s="38"/>
      <c r="D547" s="37"/>
      <c r="E547" t="str">
        <f>IF(C547="","",MONTH(C547))</f>
        <v/>
      </c>
      <c r="F547">
        <f>IF(AND(C547&lt;&gt;"",YEAR(C547)=CalYear,OR(B547=CountryCode,B547="MY")),1,0)</f>
        <v>0</v>
      </c>
      <c r="G547" t="str">
        <f>IF(F547=1,E547*100+COUNTIFS($E$5:E547,E547,$F$5:F547,1),"")</f>
        <v/>
      </c>
      <c r="H547" t="str">
        <f>IF(F547=1,C547,"")</f>
        <v/>
      </c>
    </row>
    <row r="548" spans="2:8" x14ac:dyDescent="0.25">
      <c r="B548" s="37"/>
      <c r="C548" s="38"/>
      <c r="D548" s="37"/>
      <c r="E548" t="str">
        <f>IF(C548="","",MONTH(C548))</f>
        <v/>
      </c>
      <c r="F548">
        <f>IF(AND(C548&lt;&gt;"",YEAR(C548)=CalYear,OR(B548=CountryCode,B548="MY")),1,0)</f>
        <v>0</v>
      </c>
      <c r="G548" t="str">
        <f>IF(F548=1,E548*100+COUNTIFS($E$5:E548,E548,$F$5:F548,1),"")</f>
        <v/>
      </c>
      <c r="H548" t="str">
        <f>IF(F548=1,C548,"")</f>
        <v/>
      </c>
    </row>
    <row r="549" spans="2:8" x14ac:dyDescent="0.25">
      <c r="B549" s="37"/>
      <c r="C549" s="38"/>
      <c r="D549" s="37"/>
      <c r="E549" t="str">
        <f>IF(C549="","",MONTH(C549))</f>
        <v/>
      </c>
      <c r="F549">
        <f>IF(AND(C549&lt;&gt;"",YEAR(C549)=CalYear,OR(B549=CountryCode,B549="MY")),1,0)</f>
        <v>0</v>
      </c>
      <c r="G549" t="str">
        <f>IF(F549=1,E549*100+COUNTIFS($E$5:E549,E549,$F$5:F549,1),"")</f>
        <v/>
      </c>
      <c r="H549" t="str">
        <f>IF(F549=1,C549,"")</f>
        <v/>
      </c>
    </row>
    <row r="550" spans="2:8" x14ac:dyDescent="0.25">
      <c r="B550" s="37"/>
      <c r="C550" s="38"/>
      <c r="D550" s="37"/>
      <c r="E550" t="str">
        <f>IF(C550="","",MONTH(C550))</f>
        <v/>
      </c>
      <c r="F550">
        <f>IF(AND(C550&lt;&gt;"",YEAR(C550)=CalYear,OR(B550=CountryCode,B550="MY")),1,0)</f>
        <v>0</v>
      </c>
      <c r="G550" t="str">
        <f>IF(F550=1,E550*100+COUNTIFS($E$5:E550,E550,$F$5:F550,1),"")</f>
        <v/>
      </c>
      <c r="H550" t="str">
        <f>IF(F550=1,C550,"")</f>
        <v/>
      </c>
    </row>
    <row r="551" spans="2:8" x14ac:dyDescent="0.25">
      <c r="B551" s="37"/>
      <c r="C551" s="38"/>
      <c r="D551" s="37"/>
      <c r="E551" t="str">
        <f>IF(C551="","",MONTH(C551))</f>
        <v/>
      </c>
      <c r="F551">
        <f>IF(AND(C551&lt;&gt;"",YEAR(C551)=CalYear,OR(B551=CountryCode,B551="MY")),1,0)</f>
        <v>0</v>
      </c>
      <c r="G551" t="str">
        <f>IF(F551=1,E551*100+COUNTIFS($E$5:E551,E551,$F$5:F551,1),"")</f>
        <v/>
      </c>
      <c r="H551" t="str">
        <f>IF(F551=1,C551,"")</f>
        <v/>
      </c>
    </row>
    <row r="552" spans="2:8" x14ac:dyDescent="0.25">
      <c r="B552" s="37"/>
      <c r="C552" s="38"/>
      <c r="D552" s="37"/>
      <c r="E552" t="str">
        <f>IF(C552="","",MONTH(C552))</f>
        <v/>
      </c>
      <c r="F552">
        <f>IF(AND(C552&lt;&gt;"",YEAR(C552)=CalYear,OR(B552=CountryCode,B552="MY")),1,0)</f>
        <v>0</v>
      </c>
      <c r="G552" t="str">
        <f>IF(F552=1,E552*100+COUNTIFS($E$5:E552,E552,$F$5:F552,1),"")</f>
        <v/>
      </c>
      <c r="H552" t="str">
        <f>IF(F552=1,C552,"")</f>
        <v/>
      </c>
    </row>
    <row r="553" spans="2:8" x14ac:dyDescent="0.25">
      <c r="B553" s="37"/>
      <c r="C553" s="38"/>
      <c r="D553" s="37"/>
      <c r="E553" t="str">
        <f>IF(C553="","",MONTH(C553))</f>
        <v/>
      </c>
      <c r="F553">
        <f>IF(AND(C553&lt;&gt;"",YEAR(C553)=CalYear,OR(B553=CountryCode,B553="MY")),1,0)</f>
        <v>0</v>
      </c>
      <c r="G553" t="str">
        <f>IF(F553=1,E553*100+COUNTIFS($E$5:E553,E553,$F$5:F553,1),"")</f>
        <v/>
      </c>
      <c r="H553" t="str">
        <f>IF(F553=1,C553,"")</f>
        <v/>
      </c>
    </row>
    <row r="554" spans="2:8" x14ac:dyDescent="0.25">
      <c r="B554" s="37"/>
      <c r="C554" s="38"/>
      <c r="D554" s="37"/>
      <c r="E554" t="str">
        <f>IF(C554="","",MONTH(C554))</f>
        <v/>
      </c>
      <c r="F554">
        <f>IF(AND(C554&lt;&gt;"",YEAR(C554)=CalYear,OR(B554=CountryCode,B554="MY")),1,0)</f>
        <v>0</v>
      </c>
      <c r="G554" t="str">
        <f>IF(F554=1,E554*100+COUNTIFS($E$5:E554,E554,$F$5:F554,1),"")</f>
        <v/>
      </c>
      <c r="H554" t="str">
        <f>IF(F554=1,C554,"")</f>
        <v/>
      </c>
    </row>
    <row r="555" spans="2:8" x14ac:dyDescent="0.25">
      <c r="B555" s="37"/>
      <c r="C555" s="38"/>
      <c r="D555" s="37"/>
      <c r="E555" t="str">
        <f>IF(C555="","",MONTH(C555))</f>
        <v/>
      </c>
      <c r="F555">
        <f>IF(AND(C555&lt;&gt;"",YEAR(C555)=CalYear,OR(B555=CountryCode,B555="MY")),1,0)</f>
        <v>0</v>
      </c>
      <c r="G555" t="str">
        <f>IF(F555=1,E555*100+COUNTIFS($E$5:E555,E555,$F$5:F555,1),"")</f>
        <v/>
      </c>
      <c r="H555" t="str">
        <f>IF(F555=1,C555,"")</f>
        <v/>
      </c>
    </row>
    <row r="556" spans="2:8" x14ac:dyDescent="0.25">
      <c r="B556" s="37"/>
      <c r="C556" s="38"/>
      <c r="D556" s="37"/>
      <c r="E556" t="str">
        <f>IF(C556="","",MONTH(C556))</f>
        <v/>
      </c>
      <c r="F556">
        <f>IF(AND(C556&lt;&gt;"",YEAR(C556)=CalYear,OR(B556=CountryCode,B556="MY")),1,0)</f>
        <v>0</v>
      </c>
      <c r="G556" t="str">
        <f>IF(F556=1,E556*100+COUNTIFS($E$5:E556,E556,$F$5:F556,1),"")</f>
        <v/>
      </c>
      <c r="H556" t="str">
        <f>IF(F556=1,C556,"")</f>
        <v/>
      </c>
    </row>
    <row r="557" spans="2:8" x14ac:dyDescent="0.25">
      <c r="B557" s="37"/>
      <c r="C557" s="38"/>
      <c r="D557" s="37"/>
      <c r="E557" t="str">
        <f>IF(C557="","",MONTH(C557))</f>
        <v/>
      </c>
      <c r="F557">
        <f>IF(AND(C557&lt;&gt;"",YEAR(C557)=CalYear,OR(B557=CountryCode,B557="MY")),1,0)</f>
        <v>0</v>
      </c>
      <c r="G557" t="str">
        <f>IF(F557=1,E557*100+COUNTIFS($E$5:E557,E557,$F$5:F557,1),"")</f>
        <v/>
      </c>
      <c r="H557" t="str">
        <f>IF(F557=1,C557,"")</f>
        <v/>
      </c>
    </row>
    <row r="558" spans="2:8" x14ac:dyDescent="0.25">
      <c r="B558" s="37"/>
      <c r="C558" s="38"/>
      <c r="D558" s="37"/>
      <c r="E558" t="str">
        <f>IF(C558="","",MONTH(C558))</f>
        <v/>
      </c>
      <c r="F558">
        <f>IF(AND(C558&lt;&gt;"",YEAR(C558)=CalYear,OR(B558=CountryCode,B558="MY")),1,0)</f>
        <v>0</v>
      </c>
      <c r="G558" t="str">
        <f>IF(F558=1,E558*100+COUNTIFS($E$5:E558,E558,$F$5:F558,1),"")</f>
        <v/>
      </c>
      <c r="H558" t="str">
        <f>IF(F558=1,C558,"")</f>
        <v/>
      </c>
    </row>
    <row r="559" spans="2:8" x14ac:dyDescent="0.25">
      <c r="B559" s="37"/>
      <c r="C559" s="38"/>
      <c r="D559" s="37"/>
      <c r="E559" t="str">
        <f>IF(C559="","",MONTH(C559))</f>
        <v/>
      </c>
      <c r="F559">
        <f>IF(AND(C559&lt;&gt;"",YEAR(C559)=CalYear,OR(B559=CountryCode,B559="MY")),1,0)</f>
        <v>0</v>
      </c>
      <c r="G559" t="str">
        <f>IF(F559=1,E559*100+COUNTIFS($E$5:E559,E559,$F$5:F559,1),"")</f>
        <v/>
      </c>
      <c r="H559" t="str">
        <f>IF(F559=1,C559,"")</f>
        <v/>
      </c>
    </row>
    <row r="560" spans="2:8" x14ac:dyDescent="0.25">
      <c r="B560" s="37"/>
      <c r="C560" s="38"/>
      <c r="D560" s="37"/>
      <c r="E560" t="str">
        <f>IF(C560="","",MONTH(C560))</f>
        <v/>
      </c>
      <c r="F560">
        <f>IF(AND(C560&lt;&gt;"",YEAR(C560)=CalYear,OR(B560=CountryCode,B560="MY")),1,0)</f>
        <v>0</v>
      </c>
      <c r="G560" t="str">
        <f>IF(F560=1,E560*100+COUNTIFS($E$5:E560,E560,$F$5:F560,1),"")</f>
        <v/>
      </c>
      <c r="H560" t="str">
        <f>IF(F560=1,C560,"")</f>
        <v/>
      </c>
    </row>
    <row r="561" spans="2:8" x14ac:dyDescent="0.25">
      <c r="B561" s="37"/>
      <c r="C561" s="38"/>
      <c r="D561" s="37"/>
      <c r="E561" t="str">
        <f>IF(C561="","",MONTH(C561))</f>
        <v/>
      </c>
      <c r="F561">
        <f>IF(AND(C561&lt;&gt;"",YEAR(C561)=CalYear,OR(B561=CountryCode,B561="MY")),1,0)</f>
        <v>0</v>
      </c>
      <c r="G561" t="str">
        <f>IF(F561=1,E561*100+COUNTIFS($E$5:E561,E561,$F$5:F561,1),"")</f>
        <v/>
      </c>
      <c r="H561" t="str">
        <f>IF(F561=1,C561,"")</f>
        <v/>
      </c>
    </row>
    <row r="562" spans="2:8" x14ac:dyDescent="0.25">
      <c r="B562" s="37"/>
      <c r="C562" s="38"/>
      <c r="D562" s="37"/>
      <c r="E562" t="str">
        <f>IF(C562="","",MONTH(C562))</f>
        <v/>
      </c>
      <c r="F562">
        <f>IF(AND(C562&lt;&gt;"",YEAR(C562)=CalYear,OR(B562=CountryCode,B562="MY")),1,0)</f>
        <v>0</v>
      </c>
      <c r="G562" t="str">
        <f>IF(F562=1,E562*100+COUNTIFS($E$5:E562,E562,$F$5:F562,1),"")</f>
        <v/>
      </c>
      <c r="H562" t="str">
        <f>IF(F562=1,C562,"")</f>
        <v/>
      </c>
    </row>
    <row r="563" spans="2:8" x14ac:dyDescent="0.25">
      <c r="B563" s="37"/>
      <c r="C563" s="38"/>
      <c r="D563" s="37"/>
      <c r="E563" t="str">
        <f>IF(C563="","",MONTH(C563))</f>
        <v/>
      </c>
      <c r="F563">
        <f>IF(AND(C563&lt;&gt;"",YEAR(C563)=CalYear,OR(B563=CountryCode,B563="MY")),1,0)</f>
        <v>0</v>
      </c>
      <c r="G563" t="str">
        <f>IF(F563=1,E563*100+COUNTIFS($E$5:E563,E563,$F$5:F563,1),"")</f>
        <v/>
      </c>
      <c r="H563" t="str">
        <f>IF(F563=1,C563,"")</f>
        <v/>
      </c>
    </row>
    <row r="564" spans="2:8" x14ac:dyDescent="0.25">
      <c r="B564" s="37"/>
      <c r="C564" s="38"/>
      <c r="D564" s="37"/>
      <c r="E564" t="str">
        <f>IF(C564="","",MONTH(C564))</f>
        <v/>
      </c>
      <c r="F564">
        <f>IF(AND(C564&lt;&gt;"",YEAR(C564)=CalYear,OR(B564=CountryCode,B564="MY")),1,0)</f>
        <v>0</v>
      </c>
      <c r="G564" t="str">
        <f>IF(F564=1,E564*100+COUNTIFS($E$5:E564,E564,$F$5:F564,1),"")</f>
        <v/>
      </c>
      <c r="H564" t="str">
        <f>IF(F564=1,C564,"")</f>
        <v/>
      </c>
    </row>
    <row r="565" spans="2:8" x14ac:dyDescent="0.25">
      <c r="B565" s="37"/>
      <c r="C565" s="38"/>
      <c r="D565" s="37"/>
      <c r="E565" t="str">
        <f>IF(C565="","",MONTH(C565))</f>
        <v/>
      </c>
      <c r="F565">
        <f>IF(AND(C565&lt;&gt;"",YEAR(C565)=CalYear,OR(B565=CountryCode,B565="MY")),1,0)</f>
        <v>0</v>
      </c>
      <c r="G565" t="str">
        <f>IF(F565=1,E565*100+COUNTIFS($E$5:E565,E565,$F$5:F565,1),"")</f>
        <v/>
      </c>
      <c r="H565" t="str">
        <f>IF(F565=1,C565,"")</f>
        <v/>
      </c>
    </row>
    <row r="566" spans="2:8" x14ac:dyDescent="0.25">
      <c r="B566" s="37"/>
      <c r="C566" s="38"/>
      <c r="D566" s="37"/>
      <c r="E566" t="str">
        <f>IF(C566="","",MONTH(C566))</f>
        <v/>
      </c>
      <c r="F566">
        <f>IF(AND(C566&lt;&gt;"",YEAR(C566)=CalYear,OR(B566=CountryCode,B566="MY")),1,0)</f>
        <v>0</v>
      </c>
      <c r="G566" t="str">
        <f>IF(F566=1,E566*100+COUNTIFS($E$5:E566,E566,$F$5:F566,1),"")</f>
        <v/>
      </c>
      <c r="H566" t="str">
        <f>IF(F566=1,C566,"")</f>
        <v/>
      </c>
    </row>
    <row r="567" spans="2:8" x14ac:dyDescent="0.25">
      <c r="B567" s="37"/>
      <c r="C567" s="38"/>
      <c r="D567" s="37"/>
      <c r="E567" t="str">
        <f>IF(C567="","",MONTH(C567))</f>
        <v/>
      </c>
      <c r="F567">
        <f>IF(AND(C567&lt;&gt;"",YEAR(C567)=CalYear,OR(B567=CountryCode,B567="MY")),1,0)</f>
        <v>0</v>
      </c>
      <c r="G567" t="str">
        <f>IF(F567=1,E567*100+COUNTIFS($E$5:E567,E567,$F$5:F567,1),"")</f>
        <v/>
      </c>
      <c r="H567" t="str">
        <f>IF(F567=1,C567,"")</f>
        <v/>
      </c>
    </row>
    <row r="568" spans="2:8" x14ac:dyDescent="0.25">
      <c r="B568" s="37"/>
      <c r="C568" s="38"/>
      <c r="D568" s="37"/>
      <c r="E568" t="str">
        <f>IF(C568="","",MONTH(C568))</f>
        <v/>
      </c>
      <c r="F568">
        <f>IF(AND(C568&lt;&gt;"",YEAR(C568)=CalYear,OR(B568=CountryCode,B568="MY")),1,0)</f>
        <v>0</v>
      </c>
      <c r="G568" t="str">
        <f>IF(F568=1,E568*100+COUNTIFS($E$5:E568,E568,$F$5:F568,1),"")</f>
        <v/>
      </c>
      <c r="H568" t="str">
        <f>IF(F568=1,C568,"")</f>
        <v/>
      </c>
    </row>
    <row r="569" spans="2:8" x14ac:dyDescent="0.25">
      <c r="B569" s="37"/>
      <c r="C569" s="38"/>
      <c r="D569" s="37"/>
      <c r="E569" t="str">
        <f>IF(C569="","",MONTH(C569))</f>
        <v/>
      </c>
      <c r="F569">
        <f>IF(AND(C569&lt;&gt;"",YEAR(C569)=CalYear,OR(B569=CountryCode,B569="MY")),1,0)</f>
        <v>0</v>
      </c>
      <c r="G569" t="str">
        <f>IF(F569=1,E569*100+COUNTIFS($E$5:E569,E569,$F$5:F569,1),"")</f>
        <v/>
      </c>
      <c r="H569" t="str">
        <f>IF(F569=1,C569,"")</f>
        <v/>
      </c>
    </row>
    <row r="570" spans="2:8" x14ac:dyDescent="0.25">
      <c r="B570" s="37"/>
      <c r="C570" s="38"/>
      <c r="D570" s="37"/>
      <c r="E570" t="str">
        <f>IF(C570="","",MONTH(C570))</f>
        <v/>
      </c>
      <c r="F570">
        <f>IF(AND(C570&lt;&gt;"",YEAR(C570)=CalYear,OR(B570=CountryCode,B570="MY")),1,0)</f>
        <v>0</v>
      </c>
      <c r="G570" t="str">
        <f>IF(F570=1,E570*100+COUNTIFS($E$5:E570,E570,$F$5:F570,1),"")</f>
        <v/>
      </c>
      <c r="H570" t="str">
        <f>IF(F570=1,C570,"")</f>
        <v/>
      </c>
    </row>
    <row r="571" spans="2:8" x14ac:dyDescent="0.25">
      <c r="B571" s="37"/>
      <c r="C571" s="38"/>
      <c r="D571" s="37"/>
      <c r="E571" t="str">
        <f>IF(C571="","",MONTH(C571))</f>
        <v/>
      </c>
      <c r="F571">
        <f>IF(AND(C571&lt;&gt;"",YEAR(C571)=CalYear,OR(B571=CountryCode,B571="MY")),1,0)</f>
        <v>0</v>
      </c>
      <c r="G571" t="str">
        <f>IF(F571=1,E571*100+COUNTIFS($E$5:E571,E571,$F$5:F571,1),"")</f>
        <v/>
      </c>
      <c r="H571" t="str">
        <f>IF(F571=1,C571,"")</f>
        <v/>
      </c>
    </row>
    <row r="572" spans="2:8" x14ac:dyDescent="0.25">
      <c r="B572" s="37"/>
      <c r="C572" s="38"/>
      <c r="D572" s="37"/>
      <c r="E572" t="str">
        <f>IF(C572="","",MONTH(C572))</f>
        <v/>
      </c>
      <c r="F572">
        <f>IF(AND(C572&lt;&gt;"",YEAR(C572)=CalYear,OR(B572=CountryCode,B572="MY")),1,0)</f>
        <v>0</v>
      </c>
      <c r="G572" t="str">
        <f>IF(F572=1,E572*100+COUNTIFS($E$5:E572,E572,$F$5:F572,1),"")</f>
        <v/>
      </c>
      <c r="H572" t="str">
        <f>IF(F572=1,C572,"")</f>
        <v/>
      </c>
    </row>
    <row r="573" spans="2:8" x14ac:dyDescent="0.25">
      <c r="B573" s="37"/>
      <c r="C573" s="38"/>
      <c r="D573" s="37"/>
      <c r="E573" t="str">
        <f>IF(C573="","",MONTH(C573))</f>
        <v/>
      </c>
      <c r="F573">
        <f>IF(AND(C573&lt;&gt;"",YEAR(C573)=CalYear,OR(B573=CountryCode,B573="MY")),1,0)</f>
        <v>0</v>
      </c>
      <c r="G573" t="str">
        <f>IF(F573=1,E573*100+COUNTIFS($E$5:E573,E573,$F$5:F573,1),"")</f>
        <v/>
      </c>
      <c r="H573" t="str">
        <f>IF(F573=1,C573,"")</f>
        <v/>
      </c>
    </row>
    <row r="574" spans="2:8" x14ac:dyDescent="0.25">
      <c r="B574" s="37"/>
      <c r="C574" s="38"/>
      <c r="D574" s="37"/>
      <c r="E574" t="str">
        <f>IF(C574="","",MONTH(C574))</f>
        <v/>
      </c>
      <c r="F574">
        <f>IF(AND(C574&lt;&gt;"",YEAR(C574)=CalYear,OR(B574=CountryCode,B574="MY")),1,0)</f>
        <v>0</v>
      </c>
      <c r="G574" t="str">
        <f>IF(F574=1,E574*100+COUNTIFS($E$5:E574,E574,$F$5:F574,1),"")</f>
        <v/>
      </c>
      <c r="H574" t="str">
        <f>IF(F574=1,C574,"")</f>
        <v/>
      </c>
    </row>
    <row r="575" spans="2:8" x14ac:dyDescent="0.25">
      <c r="B575" s="37"/>
      <c r="C575" s="38"/>
      <c r="D575" s="37"/>
      <c r="E575" t="str">
        <f>IF(C575="","",MONTH(C575))</f>
        <v/>
      </c>
      <c r="F575">
        <f>IF(AND(C575&lt;&gt;"",YEAR(C575)=CalYear,OR(B575=CountryCode,B575="MY")),1,0)</f>
        <v>0</v>
      </c>
      <c r="G575" t="str">
        <f>IF(F575=1,E575*100+COUNTIFS($E$5:E575,E575,$F$5:F575,1),"")</f>
        <v/>
      </c>
      <c r="H575" t="str">
        <f>IF(F575=1,C575,"")</f>
        <v/>
      </c>
    </row>
    <row r="576" spans="2:8" x14ac:dyDescent="0.25">
      <c r="B576" s="37"/>
      <c r="C576" s="38"/>
      <c r="D576" s="37"/>
      <c r="E576" t="str">
        <f>IF(C576="","",MONTH(C576))</f>
        <v/>
      </c>
      <c r="F576">
        <f>IF(AND(C576&lt;&gt;"",YEAR(C576)=CalYear,OR(B576=CountryCode,B576="MY")),1,0)</f>
        <v>0</v>
      </c>
      <c r="G576" t="str">
        <f>IF(F576=1,E576*100+COUNTIFS($E$5:E576,E576,$F$5:F576,1),"")</f>
        <v/>
      </c>
      <c r="H576" t="str">
        <f>IF(F576=1,C576,"")</f>
        <v/>
      </c>
    </row>
    <row r="577" spans="2:8" x14ac:dyDescent="0.25">
      <c r="B577" s="37"/>
      <c r="C577" s="38"/>
      <c r="D577" s="37"/>
      <c r="E577" t="str">
        <f>IF(C577="","",MONTH(C577))</f>
        <v/>
      </c>
      <c r="F577">
        <f>IF(AND(C577&lt;&gt;"",YEAR(C577)=CalYear,OR(B577=CountryCode,B577="MY")),1,0)</f>
        <v>0</v>
      </c>
      <c r="G577" t="str">
        <f>IF(F577=1,E577*100+COUNTIFS($E$5:E577,E577,$F$5:F577,1),"")</f>
        <v/>
      </c>
      <c r="H577" t="str">
        <f>IF(F577=1,C577,"")</f>
        <v/>
      </c>
    </row>
    <row r="578" spans="2:8" x14ac:dyDescent="0.25">
      <c r="B578" s="37"/>
      <c r="C578" s="38"/>
      <c r="D578" s="37"/>
      <c r="E578" t="str">
        <f>IF(C578="","",MONTH(C578))</f>
        <v/>
      </c>
      <c r="F578">
        <f>IF(AND(C578&lt;&gt;"",YEAR(C578)=CalYear,OR(B578=CountryCode,B578="MY")),1,0)</f>
        <v>0</v>
      </c>
      <c r="G578" t="str">
        <f>IF(F578=1,E578*100+COUNTIFS($E$5:E578,E578,$F$5:F578,1),"")</f>
        <v/>
      </c>
      <c r="H578" t="str">
        <f>IF(F578=1,C578,"")</f>
        <v/>
      </c>
    </row>
    <row r="579" spans="2:8" x14ac:dyDescent="0.25">
      <c r="B579" s="37"/>
      <c r="C579" s="38"/>
      <c r="D579" s="37"/>
      <c r="E579" t="str">
        <f>IF(C579="","",MONTH(C579))</f>
        <v/>
      </c>
      <c r="F579">
        <f>IF(AND(C579&lt;&gt;"",YEAR(C579)=CalYear,OR(B579=CountryCode,B579="MY")),1,0)</f>
        <v>0</v>
      </c>
      <c r="G579" t="str">
        <f>IF(F579=1,E579*100+COUNTIFS($E$5:E579,E579,$F$5:F579,1),"")</f>
        <v/>
      </c>
      <c r="H579" t="str">
        <f>IF(F579=1,C579,"")</f>
        <v/>
      </c>
    </row>
    <row r="580" spans="2:8" x14ac:dyDescent="0.25">
      <c r="B580" s="37"/>
      <c r="C580" s="38"/>
      <c r="D580" s="37"/>
      <c r="E580" t="str">
        <f>IF(C580="","",MONTH(C580))</f>
        <v/>
      </c>
      <c r="F580">
        <f>IF(AND(C580&lt;&gt;"",YEAR(C580)=CalYear,OR(B580=CountryCode,B580="MY")),1,0)</f>
        <v>0</v>
      </c>
      <c r="G580" t="str">
        <f>IF(F580=1,E580*100+COUNTIFS($E$5:E580,E580,$F$5:F580,1),"")</f>
        <v/>
      </c>
      <c r="H580" t="str">
        <f>IF(F580=1,C580,"")</f>
        <v/>
      </c>
    </row>
    <row r="581" spans="2:8" x14ac:dyDescent="0.25">
      <c r="B581" s="37"/>
      <c r="C581" s="38"/>
      <c r="D581" s="37"/>
      <c r="E581" t="str">
        <f>IF(C581="","",MONTH(C581))</f>
        <v/>
      </c>
      <c r="F581">
        <f>IF(AND(C581&lt;&gt;"",YEAR(C581)=CalYear,OR(B581=CountryCode,B581="MY")),1,0)</f>
        <v>0</v>
      </c>
      <c r="G581" t="str">
        <f>IF(F581=1,E581*100+COUNTIFS($E$5:E581,E581,$F$5:F581,1),"")</f>
        <v/>
      </c>
      <c r="H581" t="str">
        <f>IF(F581=1,C581,"")</f>
        <v/>
      </c>
    </row>
    <row r="582" spans="2:8" x14ac:dyDescent="0.25">
      <c r="B582" s="37"/>
      <c r="C582" s="38"/>
      <c r="D582" s="37"/>
      <c r="E582" t="str">
        <f>IF(C582="","",MONTH(C582))</f>
        <v/>
      </c>
      <c r="F582">
        <f>IF(AND(C582&lt;&gt;"",YEAR(C582)=CalYear,OR(B582=CountryCode,B582="MY")),1,0)</f>
        <v>0</v>
      </c>
      <c r="G582" t="str">
        <f>IF(F582=1,E582*100+COUNTIFS($E$5:E582,E582,$F$5:F582,1),"")</f>
        <v/>
      </c>
      <c r="H582" t="str">
        <f>IF(F582=1,C582,"")</f>
        <v/>
      </c>
    </row>
    <row r="583" spans="2:8" x14ac:dyDescent="0.25">
      <c r="B583" s="37"/>
      <c r="C583" s="38"/>
      <c r="D583" s="37"/>
      <c r="E583" t="str">
        <f>IF(C583="","",MONTH(C583))</f>
        <v/>
      </c>
      <c r="F583">
        <f>IF(AND(C583&lt;&gt;"",YEAR(C583)=CalYear,OR(B583=CountryCode,B583="MY")),1,0)</f>
        <v>0</v>
      </c>
      <c r="G583" t="str">
        <f>IF(F583=1,E583*100+COUNTIFS($E$5:E583,E583,$F$5:F583,1),"")</f>
        <v/>
      </c>
      <c r="H583" t="str">
        <f>IF(F583=1,C583,"")</f>
        <v/>
      </c>
    </row>
    <row r="584" spans="2:8" x14ac:dyDescent="0.25">
      <c r="B584" s="37"/>
      <c r="C584" s="38"/>
      <c r="D584" s="37"/>
      <c r="E584" t="str">
        <f>IF(C584="","",MONTH(C584))</f>
        <v/>
      </c>
      <c r="F584">
        <f>IF(AND(C584&lt;&gt;"",YEAR(C584)=CalYear,OR(B584=CountryCode,B584="MY")),1,0)</f>
        <v>0</v>
      </c>
      <c r="G584" t="str">
        <f>IF(F584=1,E584*100+COUNTIFS($E$5:E584,E584,$F$5:F584,1),"")</f>
        <v/>
      </c>
      <c r="H584" t="str">
        <f>IF(F584=1,C584,"")</f>
        <v/>
      </c>
    </row>
    <row r="585" spans="2:8" x14ac:dyDescent="0.25">
      <c r="B585" s="37"/>
      <c r="C585" s="38"/>
      <c r="D585" s="37"/>
      <c r="E585" t="str">
        <f>IF(C585="","",MONTH(C585))</f>
        <v/>
      </c>
      <c r="F585">
        <f>IF(AND(C585&lt;&gt;"",YEAR(C585)=CalYear,OR(B585=CountryCode,B585="MY")),1,0)</f>
        <v>0</v>
      </c>
      <c r="G585" t="str">
        <f>IF(F585=1,E585*100+COUNTIFS($E$5:E585,E585,$F$5:F585,1),"")</f>
        <v/>
      </c>
      <c r="H585" t="str">
        <f>IF(F585=1,C585,"")</f>
        <v/>
      </c>
    </row>
    <row r="586" spans="2:8" x14ac:dyDescent="0.25">
      <c r="B586" s="37"/>
      <c r="C586" s="38"/>
      <c r="D586" s="37"/>
      <c r="E586" t="str">
        <f>IF(C586="","",MONTH(C586))</f>
        <v/>
      </c>
      <c r="F586">
        <f>IF(AND(C586&lt;&gt;"",YEAR(C586)=CalYear,OR(B586=CountryCode,B586="MY")),1,0)</f>
        <v>0</v>
      </c>
      <c r="G586" t="str">
        <f>IF(F586=1,E586*100+COUNTIFS($E$5:E586,E586,$F$5:F586,1),"")</f>
        <v/>
      </c>
      <c r="H586" t="str">
        <f>IF(F586=1,C586,"")</f>
        <v/>
      </c>
    </row>
    <row r="587" spans="2:8" x14ac:dyDescent="0.25">
      <c r="B587" s="37"/>
      <c r="C587" s="38"/>
      <c r="D587" s="37"/>
      <c r="E587" t="str">
        <f>IF(C587="","",MONTH(C587))</f>
        <v/>
      </c>
      <c r="F587">
        <f>IF(AND(C587&lt;&gt;"",YEAR(C587)=CalYear,OR(B587=CountryCode,B587="MY")),1,0)</f>
        <v>0</v>
      </c>
      <c r="G587" t="str">
        <f>IF(F587=1,E587*100+COUNTIFS($E$5:E587,E587,$F$5:F587,1),"")</f>
        <v/>
      </c>
      <c r="H587" t="str">
        <f>IF(F587=1,C587,"")</f>
        <v/>
      </c>
    </row>
    <row r="588" spans="2:8" x14ac:dyDescent="0.25">
      <c r="B588" s="37"/>
      <c r="C588" s="38"/>
      <c r="D588" s="37"/>
      <c r="E588" t="str">
        <f>IF(C588="","",MONTH(C588))</f>
        <v/>
      </c>
      <c r="F588">
        <f>IF(AND(C588&lt;&gt;"",YEAR(C588)=CalYear,OR(B588=CountryCode,B588="MY")),1,0)</f>
        <v>0</v>
      </c>
      <c r="G588" t="str">
        <f>IF(F588=1,E588*100+COUNTIFS($E$5:E588,E588,$F$5:F588,1),"")</f>
        <v/>
      </c>
      <c r="H588" t="str">
        <f>IF(F588=1,C588,"")</f>
        <v/>
      </c>
    </row>
    <row r="589" spans="2:8" x14ac:dyDescent="0.25">
      <c r="B589" s="37"/>
      <c r="C589" s="38"/>
      <c r="D589" s="37"/>
      <c r="E589" t="str">
        <f>IF(C589="","",MONTH(C589))</f>
        <v/>
      </c>
      <c r="F589">
        <f>IF(AND(C589&lt;&gt;"",YEAR(C589)=CalYear,OR(B589=CountryCode,B589="MY")),1,0)</f>
        <v>0</v>
      </c>
      <c r="G589" t="str">
        <f>IF(F589=1,E589*100+COUNTIFS($E$5:E589,E589,$F$5:F589,1),"")</f>
        <v/>
      </c>
      <c r="H589" t="str">
        <f>IF(F589=1,C589,"")</f>
        <v/>
      </c>
    </row>
    <row r="590" spans="2:8" x14ac:dyDescent="0.25">
      <c r="B590" s="37"/>
      <c r="C590" s="38"/>
      <c r="D590" s="37"/>
      <c r="E590" t="str">
        <f>IF(C590="","",MONTH(C590))</f>
        <v/>
      </c>
      <c r="F590">
        <f>IF(AND(C590&lt;&gt;"",YEAR(C590)=CalYear,OR(B590=CountryCode,B590="MY")),1,0)</f>
        <v>0</v>
      </c>
      <c r="G590" t="str">
        <f>IF(F590=1,E590*100+COUNTIFS($E$5:E590,E590,$F$5:F590,1),"")</f>
        <v/>
      </c>
      <c r="H590" t="str">
        <f>IF(F590=1,C590,"")</f>
        <v/>
      </c>
    </row>
    <row r="591" spans="2:8" x14ac:dyDescent="0.25">
      <c r="B591" s="37"/>
      <c r="C591" s="38"/>
      <c r="D591" s="37"/>
      <c r="E591" t="str">
        <f>IF(C591="","",MONTH(C591))</f>
        <v/>
      </c>
      <c r="F591">
        <f>IF(AND(C591&lt;&gt;"",YEAR(C591)=CalYear,OR(B591=CountryCode,B591="MY")),1,0)</f>
        <v>0</v>
      </c>
      <c r="G591" t="str">
        <f>IF(F591=1,E591*100+COUNTIFS($E$5:E591,E591,$F$5:F591,1),"")</f>
        <v/>
      </c>
      <c r="H591" t="str">
        <f>IF(F591=1,C591,"")</f>
        <v/>
      </c>
    </row>
    <row r="592" spans="2:8" x14ac:dyDescent="0.25">
      <c r="B592" s="37"/>
      <c r="C592" s="38"/>
      <c r="D592" s="37"/>
      <c r="E592" t="str">
        <f>IF(C592="","",MONTH(C592))</f>
        <v/>
      </c>
      <c r="F592">
        <f>IF(AND(C592&lt;&gt;"",YEAR(C592)=CalYear,OR(B592=CountryCode,B592="MY")),1,0)</f>
        <v>0</v>
      </c>
      <c r="G592" t="str">
        <f>IF(F592=1,E592*100+COUNTIFS($E$5:E592,E592,$F$5:F592,1),"")</f>
        <v/>
      </c>
      <c r="H592" t="str">
        <f>IF(F592=1,C592,"")</f>
        <v/>
      </c>
    </row>
    <row r="593" spans="2:8" x14ac:dyDescent="0.25">
      <c r="B593" s="37"/>
      <c r="C593" s="38"/>
      <c r="D593" s="37"/>
      <c r="E593" t="str">
        <f>IF(C593="","",MONTH(C593))</f>
        <v/>
      </c>
      <c r="F593">
        <f>IF(AND(C593&lt;&gt;"",YEAR(C593)=CalYear,OR(B593=CountryCode,B593="MY")),1,0)</f>
        <v>0</v>
      </c>
      <c r="G593" t="str">
        <f>IF(F593=1,E593*100+COUNTIFS($E$5:E593,E593,$F$5:F593,1),"")</f>
        <v/>
      </c>
      <c r="H593" t="str">
        <f>IF(F593=1,C593,"")</f>
        <v/>
      </c>
    </row>
    <row r="594" spans="2:8" x14ac:dyDescent="0.25">
      <c r="B594" s="37"/>
      <c r="C594" s="38"/>
      <c r="D594" s="37"/>
      <c r="E594" t="str">
        <f>IF(C594="","",MONTH(C594))</f>
        <v/>
      </c>
      <c r="F594">
        <f>IF(AND(C594&lt;&gt;"",YEAR(C594)=CalYear,OR(B594=CountryCode,B594="MY")),1,0)</f>
        <v>0</v>
      </c>
      <c r="G594" t="str">
        <f>IF(F594=1,E594*100+COUNTIFS($E$5:E594,E594,$F$5:F594,1),"")</f>
        <v/>
      </c>
      <c r="H594" t="str">
        <f>IF(F594=1,C594,"")</f>
        <v/>
      </c>
    </row>
    <row r="595" spans="2:8" x14ac:dyDescent="0.25">
      <c r="B595" s="37"/>
      <c r="C595" s="38"/>
      <c r="D595" s="37"/>
      <c r="E595" t="str">
        <f>IF(C595="","",MONTH(C595))</f>
        <v/>
      </c>
      <c r="F595">
        <f>IF(AND(C595&lt;&gt;"",YEAR(C595)=CalYear,OR(B595=CountryCode,B595="MY")),1,0)</f>
        <v>0</v>
      </c>
      <c r="G595" t="str">
        <f>IF(F595=1,E595*100+COUNTIFS($E$5:E595,E595,$F$5:F595,1),"")</f>
        <v/>
      </c>
      <c r="H595" t="str">
        <f>IF(F595=1,C595,"")</f>
        <v/>
      </c>
    </row>
    <row r="596" spans="2:8" x14ac:dyDescent="0.25">
      <c r="B596" s="37"/>
      <c r="C596" s="38"/>
      <c r="D596" s="37"/>
      <c r="E596" t="str">
        <f>IF(C596="","",MONTH(C596))</f>
        <v/>
      </c>
      <c r="F596">
        <f>IF(AND(C596&lt;&gt;"",YEAR(C596)=CalYear,OR(B596=CountryCode,B596="MY")),1,0)</f>
        <v>0</v>
      </c>
      <c r="G596" t="str">
        <f>IF(F596=1,E596*100+COUNTIFS($E$5:E596,E596,$F$5:F596,1),"")</f>
        <v/>
      </c>
      <c r="H596" t="str">
        <f>IF(F596=1,C596,"")</f>
        <v/>
      </c>
    </row>
    <row r="597" spans="2:8" x14ac:dyDescent="0.25">
      <c r="B597" s="37"/>
      <c r="C597" s="38"/>
      <c r="D597" s="37"/>
      <c r="E597" t="str">
        <f>IF(C597="","",MONTH(C597))</f>
        <v/>
      </c>
      <c r="F597">
        <f>IF(AND(C597&lt;&gt;"",YEAR(C597)=CalYear,OR(B597=CountryCode,B597="MY")),1,0)</f>
        <v>0</v>
      </c>
      <c r="G597" t="str">
        <f>IF(F597=1,E597*100+COUNTIFS($E$5:E597,E597,$F$5:F597,1),"")</f>
        <v/>
      </c>
      <c r="H597" t="str">
        <f>IF(F597=1,C597,"")</f>
        <v/>
      </c>
    </row>
    <row r="598" spans="2:8" x14ac:dyDescent="0.25">
      <c r="B598" s="37"/>
      <c r="C598" s="38"/>
      <c r="D598" s="37"/>
      <c r="E598" t="str">
        <f>IF(C598="","",MONTH(C598))</f>
        <v/>
      </c>
      <c r="F598">
        <f>IF(AND(C598&lt;&gt;"",YEAR(C598)=CalYear,OR(B598=CountryCode,B598="MY")),1,0)</f>
        <v>0</v>
      </c>
      <c r="G598" t="str">
        <f>IF(F598=1,E598*100+COUNTIFS($E$5:E598,E598,$F$5:F598,1),"")</f>
        <v/>
      </c>
      <c r="H598" t="str">
        <f>IF(F598=1,C598,"")</f>
        <v/>
      </c>
    </row>
    <row r="599" spans="2:8" x14ac:dyDescent="0.25">
      <c r="B599" s="37"/>
      <c r="C599" s="38"/>
      <c r="D599" s="37"/>
      <c r="E599" t="str">
        <f>IF(C599="","",MONTH(C599))</f>
        <v/>
      </c>
      <c r="F599">
        <f>IF(AND(C599&lt;&gt;"",YEAR(C599)=CalYear,OR(B599=CountryCode,B599="MY")),1,0)</f>
        <v>0</v>
      </c>
      <c r="G599" t="str">
        <f>IF(F599=1,E599*100+COUNTIFS($E$5:E599,E599,$F$5:F599,1),"")</f>
        <v/>
      </c>
      <c r="H599" t="str">
        <f>IF(F599=1,C599,"")</f>
        <v/>
      </c>
    </row>
    <row r="600" spans="2:8" x14ac:dyDescent="0.25">
      <c r="B600" s="37"/>
      <c r="C600" s="38"/>
      <c r="D600" s="37"/>
      <c r="E600" t="str">
        <f>IF(C600="","",MONTH(C600))</f>
        <v/>
      </c>
      <c r="F600">
        <f>IF(AND(C600&lt;&gt;"",YEAR(C600)=CalYear,OR(B600=CountryCode,B600="MY")),1,0)</f>
        <v>0</v>
      </c>
      <c r="G600" t="str">
        <f>IF(F600=1,E600*100+COUNTIFS($E$5:E600,E600,$F$5:F600,1),"")</f>
        <v/>
      </c>
      <c r="H600" t="str">
        <f>IF(F600=1,C600,"")</f>
        <v/>
      </c>
    </row>
    <row r="601" spans="2:8" x14ac:dyDescent="0.25">
      <c r="B601" s="37"/>
      <c r="C601" s="38"/>
      <c r="D601" s="37"/>
      <c r="E601" t="str">
        <f>IF(C601="","",MONTH(C601))</f>
        <v/>
      </c>
      <c r="F601">
        <f>IF(AND(C601&lt;&gt;"",YEAR(C601)=CalYear,OR(B601=CountryCode,B601="MY")),1,0)</f>
        <v>0</v>
      </c>
      <c r="G601" t="str">
        <f>IF(F601=1,E601*100+COUNTIFS($E$5:E601,E601,$F$5:F601,1),"")</f>
        <v/>
      </c>
      <c r="H601" t="str">
        <f>IF(F601=1,C601,"")</f>
        <v/>
      </c>
    </row>
    <row r="602" spans="2:8" x14ac:dyDescent="0.25">
      <c r="B602" s="37"/>
      <c r="C602" s="38"/>
      <c r="D602" s="37"/>
      <c r="E602" t="str">
        <f>IF(C602="","",MONTH(C602))</f>
        <v/>
      </c>
      <c r="F602">
        <f>IF(AND(C602&lt;&gt;"",YEAR(C602)=CalYear,OR(B602=CountryCode,B602="MY")),1,0)</f>
        <v>0</v>
      </c>
      <c r="G602" t="str">
        <f>IF(F602=1,E602*100+COUNTIFS($E$5:E602,E602,$F$5:F602,1),"")</f>
        <v/>
      </c>
      <c r="H602" t="str">
        <f>IF(F602=1,C602,"")</f>
        <v/>
      </c>
    </row>
    <row r="603" spans="2:8" x14ac:dyDescent="0.25">
      <c r="B603" s="37"/>
      <c r="C603" s="38"/>
      <c r="D603" s="37"/>
      <c r="E603" t="str">
        <f>IF(C603="","",MONTH(C603))</f>
        <v/>
      </c>
      <c r="F603">
        <f>IF(AND(C603&lt;&gt;"",YEAR(C603)=CalYear,OR(B603=CountryCode,B603="MY")),1,0)</f>
        <v>0</v>
      </c>
      <c r="G603" t="str">
        <f>IF(F603=1,E603*100+COUNTIFS($E$5:E603,E603,$F$5:F603,1),"")</f>
        <v/>
      </c>
      <c r="H603" t="str">
        <f>IF(F603=1,C603,"")</f>
        <v/>
      </c>
    </row>
    <row r="604" spans="2:8" x14ac:dyDescent="0.25">
      <c r="B604" s="37"/>
      <c r="C604" s="38"/>
      <c r="D604" s="37"/>
      <c r="E604" t="str">
        <f>IF(C604="","",MONTH(C604))</f>
        <v/>
      </c>
      <c r="F604">
        <f>IF(AND(C604&lt;&gt;"",YEAR(C604)=CalYear,OR(B604=CountryCode,B604="MY")),1,0)</f>
        <v>0</v>
      </c>
      <c r="G604" t="str">
        <f>IF(F604=1,E604*100+COUNTIFS($E$5:E604,E604,$F$5:F604,1),"")</f>
        <v/>
      </c>
      <c r="H604" t="str">
        <f>IF(F604=1,C604,"")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/>
  </sheetViews>
  <sheetFormatPr defaultRowHeight="16" outlineLevelRow="0" outlineLevelCol="0" x14ac:dyDescent="55" customHeight="1"/>
  <sheetData>
    <row r="1" spans="1:11" x14ac:dyDescent="0.25">
      <c r="A1" t="s">
        <v>152</v>
      </c>
      <c r="B1" t="s">
        <v>153</v>
      </c>
      <c r="C1" t="s">
        <v>154</v>
      </c>
      <c r="D1" t="s">
        <v>155</v>
      </c>
      <c r="F1" t="s">
        <v>28</v>
      </c>
      <c r="G1" t="s">
        <v>156</v>
      </c>
      <c r="I1" t="s">
        <v>157</v>
      </c>
      <c r="J1" t="s">
        <v>158</v>
      </c>
      <c r="K1" t="s">
        <v>159</v>
      </c>
    </row>
    <row r="2" spans="1:11" x14ac:dyDescent="0.25">
      <c r="A2" t="s">
        <v>160</v>
      </c>
      <c r="B2" t="s">
        <v>6</v>
      </c>
      <c r="C2" t="s">
        <v>161</v>
      </c>
      <c r="D2" t="s">
        <v>162</v>
      </c>
      <c r="F2" t="s">
        <v>30</v>
      </c>
      <c r="G2" t="s">
        <v>163</v>
      </c>
      <c r="I2">
        <f>IF(WeekStart="Monday",2,1)</f>
        <v>2</v>
      </c>
      <c r="J2" t="str">
        <f>IFERROR(INDEX(CountryCodes,MATCH(Country,CountryNames,0)),"")</f>
        <v>US</v>
      </c>
      <c r="K2">
        <f>DATE(CalYear,1,1)-WEEKDAY(DATE(CalYear,1,1),WeekType)+1</f>
        <v>46384</v>
      </c>
    </row>
    <row r="3" spans="1:7" x14ac:dyDescent="0.25">
      <c r="A3" t="s">
        <v>164</v>
      </c>
      <c r="B3" t="s">
        <v>165</v>
      </c>
      <c r="C3" t="s">
        <v>166</v>
      </c>
      <c r="D3" t="s">
        <v>167</v>
      </c>
      <c r="F3" t="s">
        <v>47</v>
      </c>
      <c r="G3" t="s">
        <v>168</v>
      </c>
    </row>
    <row r="4" spans="1:7" x14ac:dyDescent="0.25">
      <c r="A4" t="s">
        <v>169</v>
      </c>
      <c r="B4" t="s">
        <v>170</v>
      </c>
      <c r="C4" t="s">
        <v>171</v>
      </c>
      <c r="D4" t="s">
        <v>172</v>
      </c>
      <c r="F4" t="s">
        <v>56</v>
      </c>
      <c r="G4" t="s">
        <v>173</v>
      </c>
    </row>
    <row r="5" spans="1:7" x14ac:dyDescent="0.25">
      <c r="A5" t="s">
        <v>174</v>
      </c>
      <c r="B5" t="s">
        <v>175</v>
      </c>
      <c r="C5" t="s">
        <v>176</v>
      </c>
      <c r="D5" t="s">
        <v>167</v>
      </c>
      <c r="F5" t="s">
        <v>62</v>
      </c>
      <c r="G5" t="s">
        <v>177</v>
      </c>
    </row>
    <row r="6" spans="1:7" x14ac:dyDescent="0.25">
      <c r="A6" t="s">
        <v>178</v>
      </c>
      <c r="B6" t="s">
        <v>179</v>
      </c>
      <c r="C6" t="s">
        <v>180</v>
      </c>
      <c r="D6" t="s">
        <v>181</v>
      </c>
      <c r="F6" t="s">
        <v>64</v>
      </c>
      <c r="G6" t="s">
        <v>182</v>
      </c>
    </row>
    <row r="7" spans="1:7" x14ac:dyDescent="0.25">
      <c r="A7" t="s">
        <v>183</v>
      </c>
      <c r="B7" t="s">
        <v>184</v>
      </c>
      <c r="C7" t="s">
        <v>185</v>
      </c>
      <c r="D7" t="s">
        <v>186</v>
      </c>
      <c r="F7" t="s">
        <v>76</v>
      </c>
      <c r="G7" t="s">
        <v>187</v>
      </c>
    </row>
    <row r="8" spans="1:7" x14ac:dyDescent="0.25">
      <c r="A8" t="s">
        <v>188</v>
      </c>
      <c r="B8" t="s">
        <v>189</v>
      </c>
      <c r="C8" t="s">
        <v>190</v>
      </c>
      <c r="D8" t="s">
        <v>186</v>
      </c>
      <c r="F8" t="s">
        <v>89</v>
      </c>
      <c r="G8" t="s">
        <v>191</v>
      </c>
    </row>
    <row r="9" spans="3:7" x14ac:dyDescent="0.25">
      <c r="C9" t="s">
        <v>192</v>
      </c>
      <c r="F9" t="s">
        <v>98</v>
      </c>
      <c r="G9" t="s">
        <v>193</v>
      </c>
    </row>
    <row r="10" spans="3:7" x14ac:dyDescent="0.25">
      <c r="C10" t="s">
        <v>194</v>
      </c>
      <c r="F10" t="s">
        <v>86</v>
      </c>
      <c r="G10" t="s">
        <v>195</v>
      </c>
    </row>
    <row r="11" spans="3:7" x14ac:dyDescent="0.25">
      <c r="C11" t="s">
        <v>196</v>
      </c>
      <c r="F11" t="s">
        <v>105</v>
      </c>
      <c r="G11" t="s">
        <v>197</v>
      </c>
    </row>
    <row r="12" spans="3:7" x14ac:dyDescent="0.25">
      <c r="C12" t="s">
        <v>198</v>
      </c>
      <c r="F12" t="s">
        <v>113</v>
      </c>
      <c r="G12" t="s">
        <v>199</v>
      </c>
    </row>
    <row r="13" spans="3:7" x14ac:dyDescent="0.25">
      <c r="C13" t="s">
        <v>200</v>
      </c>
      <c r="F13" t="s">
        <v>116</v>
      </c>
      <c r="G13" t="s">
        <v>201</v>
      </c>
    </row>
    <row r="14" spans="6:7" x14ac:dyDescent="0.25">
      <c r="F14" t="s">
        <v>120</v>
      </c>
      <c r="G14" t="s">
        <v>202</v>
      </c>
    </row>
    <row r="15" spans="6:7" x14ac:dyDescent="0.25">
      <c r="F15" t="s">
        <v>129</v>
      </c>
      <c r="G15" t="s">
        <v>203</v>
      </c>
    </row>
    <row r="16" spans="6:7" x14ac:dyDescent="0.25">
      <c r="F16" t="s">
        <v>136</v>
      </c>
      <c r="G16" t="s">
        <v>204</v>
      </c>
    </row>
    <row r="17" spans="6:7" x14ac:dyDescent="0.25">
      <c r="F17" t="s">
        <v>95</v>
      </c>
      <c r="G17" t="s">
        <v>205</v>
      </c>
    </row>
    <row r="18" spans="6:7" x14ac:dyDescent="0.25">
      <c r="F18" t="s">
        <v>102</v>
      </c>
      <c r="G18" t="s">
        <v>206</v>
      </c>
    </row>
    <row r="19" spans="6:7" x14ac:dyDescent="0.25">
      <c r="F19" t="s">
        <v>141</v>
      </c>
      <c r="G19" t="s">
        <v>8</v>
      </c>
    </row>
    <row r="20" spans="6:7" x14ac:dyDescent="0.25">
      <c r="F20" t="s">
        <v>151</v>
      </c>
      <c r="G20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Start here</vt:lpstr>
      <vt:lpstr>Year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Weekly</vt:lpstr>
      <vt:lpstr>Holidays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Sheets365</dc:creator>
  <dc:title>2027 Calendar &amp; Planner</dc:title>
  <dc:subject/>
  <dc:description/>
  <cp:keywords/>
  <cp:category/>
  <cp:lastModifiedBy>Unknown</cp:lastModifiedBy>
  <dcterms:created xsi:type="dcterms:W3CDTF">2026-09-24T13:26:09Z</dcterms:created>
  <dcterms:modified xsi:type="dcterms:W3CDTF">2026-09-24T13:26:09Z</dcterms:modified>
</cp:coreProperties>
</file>